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320" activeTab="2"/>
  </bookViews>
  <sheets>
    <sheet name="Presupuesto Ciudad Juan Bosch 1" sheetId="1" r:id="rId1"/>
    <sheet name="Presupuesto Ciudad Juan Bos 2" sheetId="2" r:id="rId2"/>
    <sheet name="Batey Gautier " sheetId="3" r:id="rId3"/>
  </sheets>
  <definedNames>
    <definedName name="_xlnm.Print_Titles" localSheetId="2">'Batey Gautier '!$1:$15</definedName>
    <definedName name="_xlnm.Print_Titles" localSheetId="1">'Presupuesto Ciudad Juan Bos 2'!$1:$15</definedName>
    <definedName name="_xlnm.Print_Titles" localSheetId="0">'Presupuesto Ciudad Juan Bosch 1'!$1:$15</definedName>
  </definedNames>
  <calcPr fullCalcOnLoad="1"/>
</workbook>
</file>

<file path=xl/sharedStrings.xml><?xml version="1.0" encoding="utf-8"?>
<sst xmlns="http://schemas.openxmlformats.org/spreadsheetml/2006/main" count="5516" uniqueCount="788">
  <si>
    <t>mt³</t>
  </si>
  <si>
    <t>No.</t>
  </si>
  <si>
    <t xml:space="preserve">Descripción </t>
  </si>
  <si>
    <t xml:space="preserve">Unidad </t>
  </si>
  <si>
    <t>Cantidad</t>
  </si>
  <si>
    <t>Precio</t>
  </si>
  <si>
    <t>Sub-Total</t>
  </si>
  <si>
    <t xml:space="preserve">Total </t>
  </si>
  <si>
    <t>Unitario</t>
  </si>
  <si>
    <t>(RD$)</t>
  </si>
  <si>
    <t>mt²</t>
  </si>
  <si>
    <t>ml</t>
  </si>
  <si>
    <t>p.a</t>
  </si>
  <si>
    <t>Und</t>
  </si>
  <si>
    <t xml:space="preserve">PRELIMINARES </t>
  </si>
  <si>
    <t>mt³n</t>
  </si>
  <si>
    <t>mt³c</t>
  </si>
  <si>
    <t xml:space="preserve">en muros de block con columnas y vigas, pasarela de interconexión, área cívica, instalaciones sanitarias y electricas exteriores. </t>
  </si>
  <si>
    <t>Letrero en Obra (Promoción) (ver especificaciones)</t>
  </si>
  <si>
    <t>mes</t>
  </si>
  <si>
    <t>Letreros para identificar espacios y señalizaciones (ver especific.)</t>
  </si>
  <si>
    <t>ACONDICIONAMIENTO DE TERRENO</t>
  </si>
  <si>
    <t xml:space="preserve">AREAS EXTERIORES </t>
  </si>
  <si>
    <t xml:space="preserve">Construcción caseta de cisterna (ver planos) </t>
  </si>
  <si>
    <t>mt³e</t>
  </si>
  <si>
    <t>Compactación de material clasificado (ver especificaciones)</t>
  </si>
  <si>
    <t>Reutilización material cortado como relleno, regado y compactado</t>
  </si>
  <si>
    <t>Unds</t>
  </si>
  <si>
    <t>Topes de granito blanco pulido para asiento bancos</t>
  </si>
  <si>
    <t>Base de hormigón soporte tope de granito (0.30*0.30) h=0.50mt</t>
  </si>
  <si>
    <t>Bordillos para acera (2 lineas) incluye: excavación, relleno repos., zapata de muros de 0.20mt, bloques de 6" (2 lineas) y pañete</t>
  </si>
  <si>
    <t xml:space="preserve">Relleno compactado con material clasificado bajo piso de acera </t>
  </si>
  <si>
    <t xml:space="preserve">Tapa de cisterna (incluye candado "Yale" Mediano forrado en Plastico) </t>
  </si>
  <si>
    <t>Registros Sanitarios 1.00x1.00x0.60mt</t>
  </si>
  <si>
    <t>Arena Lavada en zona infantil (e=0.15mt) incluye regado y traslado</t>
  </si>
  <si>
    <t xml:space="preserve">Suministro, traslado y Siembra de Cyca Revoluta h=5.00 pies </t>
  </si>
  <si>
    <t xml:space="preserve">Suministro, traslado y Siembra de Palmas Areca h=7.00 pies </t>
  </si>
  <si>
    <t>Suministro y siembra de arbustos (varios colores) h=2.00 pies</t>
  </si>
  <si>
    <t xml:space="preserve">Mantenimiento arbusto y grama </t>
  </si>
  <si>
    <t xml:space="preserve">Grava triturada blanca adherida con cemento blanco (e=0.05mts) </t>
  </si>
  <si>
    <t xml:space="preserve">Acopio, traslado y bote de material excavado </t>
  </si>
  <si>
    <t>Zapata de muros (0.45x0.20) 3Ø3/8" + est. Ø3/8" @0.30mt</t>
  </si>
  <si>
    <t>Zapata de columnas (0.80x0.80x0.20) Ø3/8" @0.25 A.D.)</t>
  </si>
  <si>
    <t xml:space="preserve">Bloques de 6" BNP </t>
  </si>
  <si>
    <t>Bloques Lisos de 6" (Violinados) SNP</t>
  </si>
  <si>
    <t xml:space="preserve">Columnas 0.20*0.20 (4Ø½" + est.Ø3/8"@0.25mt) </t>
  </si>
  <si>
    <t>Viga de Amarre 0.20*0.20 (4Ø½"+est.Ø3/8"@0.25mts)</t>
  </si>
  <si>
    <t xml:space="preserve">Fraguache en viga y columnas </t>
  </si>
  <si>
    <t xml:space="preserve">Pañete en viga y columnas </t>
  </si>
  <si>
    <t xml:space="preserve">Cantos en viga y columnas </t>
  </si>
  <si>
    <t>mt³s</t>
  </si>
  <si>
    <t xml:space="preserve">Pintura de base en muros, viga y columnas </t>
  </si>
  <si>
    <t xml:space="preserve">Pintura acrílica en muros, viga y columnas </t>
  </si>
  <si>
    <t>Puerta corrediza en tola acanalada (ver especificaciones) incluye candado</t>
  </si>
  <si>
    <t>Relleno de reposición con material clasificado (compactación manual)</t>
  </si>
  <si>
    <t xml:space="preserve">Pintura de Mantenimiento en Puerta, debe ser aplicada con compresor de aire (2 manos) </t>
  </si>
  <si>
    <t xml:space="preserve">En Apoyo al Plan Decenal de Educación </t>
  </si>
  <si>
    <t xml:space="preserve">Proyecto de Préstamo No. 2844 / OC-DR </t>
  </si>
  <si>
    <t xml:space="preserve">CANCHA MIXTA </t>
  </si>
  <si>
    <t>Excavaciones en relleno para bloques delimitante verja (0.60x0.40)</t>
  </si>
  <si>
    <t xml:space="preserve">Bloques de 6" BNP (con bastones cada 0.40mts) </t>
  </si>
  <si>
    <t xml:space="preserve">Fraguache y Pañete en bloques de 6" </t>
  </si>
  <si>
    <t xml:space="preserve">Relleno de material clasificado compactado bajo piso de cancha </t>
  </si>
  <si>
    <t xml:space="preserve">Zapata para columnas soporte tableros </t>
  </si>
  <si>
    <t xml:space="preserve">Columnas Soporte tableros </t>
  </si>
  <si>
    <t xml:space="preserve">Viga Soporte de Tableros </t>
  </si>
  <si>
    <t>Cantos en viga y columna soporte de tableros</t>
  </si>
  <si>
    <t>Fraguache y pañete en columna y viga soporte tableros</t>
  </si>
  <si>
    <t>Mt³</t>
  </si>
  <si>
    <t xml:space="preserve">P.a </t>
  </si>
  <si>
    <t>Protección en columnas con poliestileno amarillo  y  forros en vinil</t>
  </si>
  <si>
    <t>Pintura de demarcación y lineas de juego (Tennis Court en Zona de Juego y de tránsito blanca de 4" como lineas de demarcación)</t>
  </si>
  <si>
    <t xml:space="preserve">Pintura acrílica en columnas y bordillos </t>
  </si>
  <si>
    <t xml:space="preserve">Tableros en fibra de vidrio (1.20x1.80) incluye estructura soporte </t>
  </si>
  <si>
    <t>Aros Profesionales con Resortes (incluye malla color blanca)</t>
  </si>
  <si>
    <t xml:space="preserve">Bordillos para acera perimetral a cancha </t>
  </si>
  <si>
    <t xml:space="preserve">Relleno bajo acera perimetral </t>
  </si>
  <si>
    <t>Caseta de Materiales y Oficina (2 Niveles) 1er. Nivel: Caseta Materiales, Baños y Duchas 2do. Nivel Oficinas administrativas. (Ver especificaciones)</t>
  </si>
  <si>
    <t xml:space="preserve">Zinc acanaladado natural calibre 26, para techo sobre gradas </t>
  </si>
  <si>
    <t xml:space="preserve">Estructura Metálica para cubierta de gradas </t>
  </si>
  <si>
    <t>AREA CIVICA (19.00X25.00)</t>
  </si>
  <si>
    <t xml:space="preserve">Preparación y acondicionamiento área </t>
  </si>
  <si>
    <t xml:space="preserve">Bordillos de retención (1 linea) </t>
  </si>
  <si>
    <t>Piso de hormigón semipulido (con malla electrosoldada y fibra de vidrio) e=0.10mt</t>
  </si>
  <si>
    <t>Rampas para discapacitados (incluye logo )</t>
  </si>
  <si>
    <t>Pasamanos para rampa de minusválido (en acero inoxidable) h=0.90mt</t>
  </si>
  <si>
    <t>Base para Bandera (ver especificaciones)</t>
  </si>
  <si>
    <t>Base para tarja (ver especificaciones)</t>
  </si>
  <si>
    <t>Tope de Bandera (incluye driza y Bandera Nacional)</t>
  </si>
  <si>
    <t xml:space="preserve">Tarja en vinil acrílico </t>
  </si>
  <si>
    <t xml:space="preserve">Letras del Centro en 8" (En Bronce) incluye mano de obra </t>
  </si>
  <si>
    <t xml:space="preserve">Letras del Centro en 6" (En Bronce) incluye mano de obra </t>
  </si>
  <si>
    <t xml:space="preserve">Letreros en vinil acrílico transparente (señalización espacios) </t>
  </si>
  <si>
    <t>mt³e/km</t>
  </si>
  <si>
    <t xml:space="preserve">Excavación en roca con retromartillo </t>
  </si>
  <si>
    <t xml:space="preserve">Excavación material de préstamo (derecho de mina) </t>
  </si>
  <si>
    <t>Relleno para conformar explanación</t>
  </si>
  <si>
    <t xml:space="preserve">Excavaciones en relleno zapatas de muros y columnas </t>
  </si>
  <si>
    <t xml:space="preserve">Excavaciones en roca para zapatas de muros y columnas </t>
  </si>
  <si>
    <t xml:space="preserve">Tuberias drenaje sanitario (PVC de 8") </t>
  </si>
  <si>
    <t xml:space="preserve">Tuberias drenaje pluvial  (PVC de 8") </t>
  </si>
  <si>
    <t>Registros Pluviales de 1.50x2.20x2.00 (rejillas incluidas)</t>
  </si>
  <si>
    <t>Zapata de muros (0.45*0.25) 3Ø½" est.Ø3/8"@0.30</t>
  </si>
  <si>
    <t>Zapata de columnas (0.70*0.70*0.30) Ø½"@0.25 A.D.</t>
  </si>
  <si>
    <t>Columnas Redondas (D=0.30mts) 3Ø½"+est.3/8"@0.25mt</t>
  </si>
  <si>
    <t>Bloques de 6" SNP</t>
  </si>
  <si>
    <t>Viga de amarre de 0.20*0.20 (4Ø½"+est.Ø3/8"@0.30)</t>
  </si>
  <si>
    <t xml:space="preserve">Cantos en viga de amarre </t>
  </si>
  <si>
    <t xml:space="preserve">Relleno compactado bajo piso </t>
  </si>
  <si>
    <t>Pintura acrilica en elementos estructurales  y bloques de 6"</t>
  </si>
  <si>
    <t xml:space="preserve">Fraguache en elementos estructurales y muros </t>
  </si>
  <si>
    <t>Pañete en elementos estructurales y muros</t>
  </si>
  <si>
    <t>Salida tomacorriente sencillo en EMT</t>
  </si>
  <si>
    <t>Salida lampara estanca de 2T/40W  en EMT</t>
  </si>
  <si>
    <t>Techo de aluzinc (Master Panel) 30mm</t>
  </si>
  <si>
    <t xml:space="preserve">Estructura metálica en cubierta </t>
  </si>
  <si>
    <t xml:space="preserve">Caballete (ver planos) </t>
  </si>
  <si>
    <t>p,a</t>
  </si>
  <si>
    <t>unds</t>
  </si>
  <si>
    <t>Bordillos 2 lineas (delimitación parqueo)</t>
  </si>
  <si>
    <t xml:space="preserve">CONSTRUCCION DE COCINA - COMEDOR </t>
  </si>
  <si>
    <t xml:space="preserve">En Zapata de Muro de 6" </t>
  </si>
  <si>
    <t>En Zapata de Columnas Z3 (1.30*1.30)</t>
  </si>
  <si>
    <t>En Zapata de Columnas Z2 (2.40*1.50)</t>
  </si>
  <si>
    <t>En Zapata de Columnas Z1 (1.00*1.00)</t>
  </si>
  <si>
    <t>En Zapata de Columnas Z4 (1.20*1.20)</t>
  </si>
  <si>
    <t>En Zapata de Columnas Z5 (2.25*1.60)</t>
  </si>
  <si>
    <t>En Zapata de Columnas Z6 (2.80*2.00)</t>
  </si>
  <si>
    <t>En Zapata de Columnas Z7 (2.20*1.50)</t>
  </si>
  <si>
    <t>En Zapata de Columnas Z8 (2.80*1.60)</t>
  </si>
  <si>
    <t>En Zapata de Columnas Z9 (2.80*2.00)</t>
  </si>
  <si>
    <t>Zapata de Muros  de 6"</t>
  </si>
  <si>
    <t xml:space="preserve">Muros en Durocks (bajo vuelos) </t>
  </si>
  <si>
    <t xml:space="preserve">Zabaleta de techo </t>
  </si>
  <si>
    <t xml:space="preserve">Tuberia de 3" (desague de techo) todo incluido </t>
  </si>
  <si>
    <t>Sum. y Col. Parilla metálica (tipo hongo) en desague techo</t>
  </si>
  <si>
    <t xml:space="preserve">Desague de techo (caida libre de 2") </t>
  </si>
  <si>
    <t xml:space="preserve">Fraguache en losa, vigas,  muros y columnas </t>
  </si>
  <si>
    <t xml:space="preserve">Pañete liso en losa, vigas, muros y columnas </t>
  </si>
  <si>
    <t xml:space="preserve">Pañete rústico en muros </t>
  </si>
  <si>
    <t xml:space="preserve">Cantos en general </t>
  </si>
  <si>
    <t xml:space="preserve">Mochetas en puertas y ventanas </t>
  </si>
  <si>
    <t xml:space="preserve">Pañete maestrado en muros </t>
  </si>
  <si>
    <t>Cerámica importada de pared (blanca brillante 0.10x0.10 )</t>
  </si>
  <si>
    <t xml:space="preserve">Suministro y Colocación tubos de hierro negro de 6"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</si>
  <si>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</si>
  <si>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</si>
  <si>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>Escalera tipo marinera (tubos cuad. 1½" y peldaños Ø½" liso)</t>
  </si>
  <si>
    <t>und</t>
  </si>
  <si>
    <t>Trampa de grasa (1.00x1.00x0.60) incl. Tapa hormigon</t>
  </si>
  <si>
    <t xml:space="preserve">Registros (0.80x0.80x0.60) incluye tapa hormigón </t>
  </si>
  <si>
    <t xml:space="preserve">Tubería de descarga Ø4" (incluye piezas, m.o. ) </t>
  </si>
  <si>
    <t>Tuberia de 2" drenaje PVC SDR-26 (incluye piezas y m.o.)</t>
  </si>
  <si>
    <t xml:space="preserve">Lavamanos ovalados, blancos, sadosa estándar </t>
  </si>
  <si>
    <t xml:space="preserve">Llave monomando para lavamanos (europea) </t>
  </si>
  <si>
    <t>Vertedero de limpieza revestido en cerámica (completo)</t>
  </si>
  <si>
    <t>Estructura Metálica Completa, incluye:</t>
  </si>
  <si>
    <t>lb.</t>
  </si>
  <si>
    <t xml:space="preserve">Suministro y colocación de caños en aluzinc </t>
  </si>
  <si>
    <t>pie²</t>
  </si>
  <si>
    <t>Puertas en Zinc Alum (2.10 x 0.90) Almacen y Baño Empleados</t>
  </si>
  <si>
    <t>Puertas en Zinc Alum (2.10 x 0.90) Cuarto Eléctrico (incl. Rejilla)</t>
  </si>
  <si>
    <t xml:space="preserve">Barra antipánico en puertas </t>
  </si>
  <si>
    <t>Suministro y Colocación de ventanas blanca reforz. Con tornillos pivotantes **no remachada** (ver especificación)</t>
  </si>
  <si>
    <t>p²</t>
  </si>
  <si>
    <t xml:space="preserve">Zapata de muros 0.45*0.20 (parrilla con barras Ø3/8") </t>
  </si>
  <si>
    <t>Colocación bloques de 6" h=0.40 mts (BNP)</t>
  </si>
  <si>
    <t xml:space="preserve">Piso de hormigón frotado (con terminación rastrillada) </t>
  </si>
  <si>
    <t>Acera Frontal o Llegada (15.20 x 24.00)</t>
  </si>
  <si>
    <t>Extractores Atmosférico de 24" en techo aluzinc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</si>
  <si>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</si>
  <si>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</si>
  <si>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</si>
  <si>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</si>
  <si>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</si>
  <si>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</si>
  <si>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</si>
  <si>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</si>
  <si>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</si>
  <si>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</si>
  <si>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</si>
  <si>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</si>
  <si>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</si>
  <si>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triple.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</si>
  <si>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</si>
  <si>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</si>
  <si>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</si>
  <si>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</si>
  <si>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</si>
  <si>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</si>
  <si>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</si>
  <si>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</si>
  <si>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</si>
  <si>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</si>
  <si>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(Sistema de Respaldo Electrico) Inversor Electrico de 5.00 KW, 120V, 60Hz, similar a Power Tech. Incluye Juego de cables para baterias, dieciseis (16) baterias, base para baterias y materiales miscelaneos.</t>
  </si>
  <si>
    <t>Suministro e instalacion de Doble Tiro Japones de 80A, para ser usado como interruptor de transferencia manual.</t>
  </si>
  <si>
    <t>Suministro e instalacion de  Extractor tipo hongo, 1/3 HP, 1PH, 1,141CFM, 120V, 60Hz, a instalarse en pared posterior area de cocina.</t>
  </si>
  <si>
    <t>Suministro e instalacion de  Extractor de pared 1HP, 1PH, 10,300CFM, 120V, 60HZ,  a instalarse en pared posterior area de cocina.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</si>
  <si>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</si>
  <si>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Suministro e instalacion de alimentador desde transformador monofasico existente hasta Panel breaker propuesto en comedor. Incluye materiales tales como: Alambre Americano 2 THHN  #4, 1 THHN#6, 1 THHN #8, Tuberia PVC SDR-26 de 4"</t>
  </si>
  <si>
    <t>pies</t>
  </si>
  <si>
    <t>Protectores metálicos en ventanas (barras cuadradas de ½" Sep. Interior de 4" marco de ¾") espacio mocheta = 0.5"</t>
  </si>
  <si>
    <t>Llavines en puertas de zincalum (tipo palanca) ver especificaciones</t>
  </si>
  <si>
    <t>Acera laterales de 1.20 mt de ancho</t>
  </si>
  <si>
    <t>Varios</t>
  </si>
  <si>
    <t>Rellenos: y botes</t>
  </si>
  <si>
    <t>Excavaciones : Hf=1.00 mts (40% Roca y 60% Relleno)</t>
  </si>
  <si>
    <t xml:space="preserve">De reposición con material excavado </t>
  </si>
  <si>
    <t>Bote de material sobrante e=1.25</t>
  </si>
  <si>
    <t xml:space="preserve">Relleno de material excavado (bajo piso comedor) compactar por capas de 20cm </t>
  </si>
  <si>
    <t xml:space="preserve">En Zapata de Columnas Z3 </t>
  </si>
  <si>
    <t xml:space="preserve">En Zapata de Columnas Z2 </t>
  </si>
  <si>
    <t xml:space="preserve">En Zapata de Columnas Z1 </t>
  </si>
  <si>
    <t xml:space="preserve">En Zapata de Columnas Z4 </t>
  </si>
  <si>
    <t xml:space="preserve">En Zapata de Columnas Z5 </t>
  </si>
  <si>
    <t xml:space="preserve">En Zapata de Columnas Z6 </t>
  </si>
  <si>
    <t xml:space="preserve">En Zapata de Columnas Z7 </t>
  </si>
  <si>
    <t>En Zapata de Columnas Z8</t>
  </si>
  <si>
    <t xml:space="preserve">En Zapata de Columnas Z9 </t>
  </si>
  <si>
    <t xml:space="preserve">Viga a nivel de piso </t>
  </si>
  <si>
    <t>Hormigon Armado en: (ver planos)</t>
  </si>
  <si>
    <t xml:space="preserve">En Columnas C1 </t>
  </si>
  <si>
    <t>En Columnas C2</t>
  </si>
  <si>
    <t xml:space="preserve">En Columnas C3 </t>
  </si>
  <si>
    <t xml:space="preserve">En Columnas C4 </t>
  </si>
  <si>
    <t xml:space="preserve">En Columnas C5 </t>
  </si>
  <si>
    <t xml:space="preserve">En Columnas C6 </t>
  </si>
  <si>
    <t xml:space="preserve">Muro MH1  </t>
  </si>
  <si>
    <t xml:space="preserve">Viga de Amarre V1 </t>
  </si>
  <si>
    <t>Viga de Amarre V2</t>
  </si>
  <si>
    <t xml:space="preserve">Viga de Amarre V3  </t>
  </si>
  <si>
    <t xml:space="preserve">Viga de Amarre VA </t>
  </si>
  <si>
    <t xml:space="preserve">Viga EJE C, B, A Y F  </t>
  </si>
  <si>
    <t xml:space="preserve">Viga EJE D, E </t>
  </si>
  <si>
    <t xml:space="preserve">Viga EJE 7,8 Y 9  </t>
  </si>
  <si>
    <t xml:space="preserve">Losa de Techo Plana e=0.12 mts </t>
  </si>
  <si>
    <t xml:space="preserve">Losa en vuelo e=0.10mts </t>
  </si>
  <si>
    <t>Dinteles de 0.20*0.20</t>
  </si>
  <si>
    <t xml:space="preserve">Bloques </t>
  </si>
  <si>
    <t>Impermeab. en lona asfáltica de 3mm (4kg) (granular)</t>
  </si>
  <si>
    <t xml:space="preserve">Terminaciones en Techos </t>
  </si>
  <si>
    <t>Terminaciones en Superficies</t>
  </si>
  <si>
    <t>Revestimientos de paredes</t>
  </si>
  <si>
    <t xml:space="preserve">Terminaciones Exteriores </t>
  </si>
  <si>
    <t xml:space="preserve">Suministro y Colocac. Pasamanos en acero inoxidable </t>
  </si>
  <si>
    <t>Terminaciones de Pisos</t>
  </si>
  <si>
    <t>Hormigón bajo nivel de piso (para nivelación) e=0.08mt</t>
  </si>
  <si>
    <t>Piso de Granito de 0.30 x 0.30 (Ver diseño)</t>
  </si>
  <si>
    <t>Piso de Porcelanato 0.60*0.60  Alto tráfico (Ver plano)</t>
  </si>
  <si>
    <t xml:space="preserve">Zócalos de porcelanato de 0.10*0.60 </t>
  </si>
  <si>
    <t xml:space="preserve">Zocalos de granito  0.30 x 0.07 </t>
  </si>
  <si>
    <t xml:space="preserve">Tuberias PPR de 1" (cisterna @ cocina) (incl. M.O. y piezas) </t>
  </si>
  <si>
    <t xml:space="preserve">Tuberias PPR de ¾"  (incl. M.O. y piezas) </t>
  </si>
  <si>
    <t>Meseta para lavamanos (ver planos)</t>
  </si>
  <si>
    <t>Tina para lavado de víveres (1.00x1.70) h=0.40 mts (revestido en cerámica , blanca brillante)</t>
  </si>
  <si>
    <t>Sanitaria complementaria</t>
  </si>
  <si>
    <t>Herraje, Puertas y Ventanas</t>
  </si>
  <si>
    <t>Excavación en relleno para zanjas tuberias (0.40*0.40) incl. Reposición material y bote de material sobrante</t>
  </si>
  <si>
    <t xml:space="preserve">Excavación en relleno para zapata de muros </t>
  </si>
  <si>
    <t xml:space="preserve">Rampas para discapacitados (incluye Señalización) </t>
  </si>
  <si>
    <t>Columnas C2</t>
  </si>
  <si>
    <t>Columnas C3</t>
  </si>
  <si>
    <t xml:space="preserve">Fraguache en muros </t>
  </si>
  <si>
    <t xml:space="preserve">Construcción Área Administrativa </t>
  </si>
  <si>
    <t>Excavación en relleno zona de platea e=0.20mt</t>
  </si>
  <si>
    <t>Excavaciones</t>
  </si>
  <si>
    <t>Excavación en relleno y roca para zapatas muros (60%Roca y 40%Relleno)</t>
  </si>
  <si>
    <t xml:space="preserve">Excavación zapata de columnas Z1 (60%Roca y 40%Relleno) </t>
  </si>
  <si>
    <t xml:space="preserve">Excavación zapata de columnas Z2 (60%Roca y 40%Relleno) </t>
  </si>
  <si>
    <t>Acopio material excavado para relleno e=1.35</t>
  </si>
  <si>
    <t xml:space="preserve">Relleno de reposición en zapatas de muros y columnas (comp. A mano) </t>
  </si>
  <si>
    <t xml:space="preserve">Hormigones Bajo Piso </t>
  </si>
  <si>
    <t xml:space="preserve">Losa de cimentación e=0.30mt </t>
  </si>
  <si>
    <t>Zapata de muros de 8"</t>
  </si>
  <si>
    <t>Zapata de Columnas Z2</t>
  </si>
  <si>
    <t xml:space="preserve">Zapata de Columnas Z1 </t>
  </si>
  <si>
    <t xml:space="preserve">Muro MH1 </t>
  </si>
  <si>
    <t>Muro MH2</t>
  </si>
  <si>
    <t xml:space="preserve">Columnas C1 </t>
  </si>
  <si>
    <t xml:space="preserve">Viga V1 </t>
  </si>
  <si>
    <t>Viga VA</t>
  </si>
  <si>
    <t>Viga V6</t>
  </si>
  <si>
    <t>Viga V2  (Sección 1-1)</t>
  </si>
  <si>
    <t>Viga V2  (Sección 2-2)</t>
  </si>
  <si>
    <t>Viga V2  (Sección 3-3)</t>
  </si>
  <si>
    <t>Viga V3 = Viga V4 = Viga V5</t>
  </si>
  <si>
    <t>Viga V7 (Sección 1-1)</t>
  </si>
  <si>
    <t>Viga V7 (Sección 2-2)</t>
  </si>
  <si>
    <t xml:space="preserve">Terminación Techos de Hormigón </t>
  </si>
  <si>
    <t xml:space="preserve">Fino sobre techo plano </t>
  </si>
  <si>
    <t xml:space="preserve">Zabaleta </t>
  </si>
  <si>
    <t>Impermeabilizante en lona poliester de 3mm (4kg) (Granular)</t>
  </si>
  <si>
    <t>Terminación de Superficies</t>
  </si>
  <si>
    <t xml:space="preserve">Pañete en muros </t>
  </si>
  <si>
    <t>Cerámica en baños blanca brillante (ver especificaciones)</t>
  </si>
  <si>
    <t>Cerámica en Cocina blanca brillante (ver especificaciones)</t>
  </si>
  <si>
    <t xml:space="preserve">Muros de Bloques </t>
  </si>
  <si>
    <t xml:space="preserve">Bloques de 8" </t>
  </si>
  <si>
    <t xml:space="preserve">Bloques de 6" </t>
  </si>
  <si>
    <t xml:space="preserve">Mochetas </t>
  </si>
  <si>
    <t>Goteros de ranura colgantes</t>
  </si>
  <si>
    <t xml:space="preserve">Segundo Convenio de Préstamo </t>
  </si>
  <si>
    <t xml:space="preserve">MINERD - BID </t>
  </si>
  <si>
    <t xml:space="preserve">Construcción de 22 Aulas del Nivel Básico, 2 Aulas del Nivel  Inicial, Comedor-Cocina, Biblioteca, Salón Multiuso, Administración, Cierre Perimetral </t>
  </si>
  <si>
    <t>Piso de hormigon con acero de 3/8" (espesor =0.12mts) (Terminación Semi-Pulida)</t>
  </si>
  <si>
    <t>Paragomas de hormigón (longitud = 2.00 mt)</t>
  </si>
  <si>
    <t>Señalización Vertical (2 letreros con tubos de acero galvanizado)</t>
  </si>
  <si>
    <t>Señalización Horizontal (lineas de dirección y señalización espacios) pintura de tránsito engomada</t>
  </si>
  <si>
    <t>Tijerillas TJ1, TJ2 y TJ3  (W10x12)</t>
  </si>
  <si>
    <t>Perfiles de aluminio de 1"  (ver especificaciones)</t>
  </si>
  <si>
    <t xml:space="preserve">Canaleta en piso (ver planos) incluye rejilla </t>
  </si>
  <si>
    <t>Puertas Hormann (2.10 x 1.53) Laterales</t>
  </si>
  <si>
    <t>Puertas Hormann (2.10 x 2.25) Entrada Frontal</t>
  </si>
  <si>
    <t xml:space="preserve">Puerta Hormann (1.50 x 2.10) en Cocción </t>
  </si>
  <si>
    <t xml:space="preserve">Puerta en zincalum (0.90 x 2.10) en Lavado (incl. Visor) </t>
  </si>
  <si>
    <t>Puerta para cuarto frío con junta de goma (hermética)</t>
  </si>
  <si>
    <t xml:space="preserve">Techo Aligerado </t>
  </si>
  <si>
    <t>Panel tipo Sandwich para cubierta (ver especificaciones)</t>
  </si>
  <si>
    <t>Material gastable</t>
  </si>
  <si>
    <t>%</t>
  </si>
  <si>
    <t xml:space="preserve">Suministro y Colocación de caños de aluzinc </t>
  </si>
  <si>
    <t>Suministro y Colocación techo tipo sandwich (ver especificaciones)</t>
  </si>
  <si>
    <t xml:space="preserve">Terminación de Pisos </t>
  </si>
  <si>
    <t xml:space="preserve">Perfiles de aluminio de 5mm para juntas de pisos </t>
  </si>
  <si>
    <t>Zócalos de granito f/blanco (1.00x0.07) preparado "In Situ"</t>
  </si>
  <si>
    <t xml:space="preserve">Piso de granito fondo blanco 1.0x1.0  preparado "In Situ"  </t>
  </si>
  <si>
    <t xml:space="preserve">Pulido, Brillado y Cristalizado de Pisos y zócalos </t>
  </si>
  <si>
    <t xml:space="preserve">Puertas y Ventanas </t>
  </si>
  <si>
    <t xml:space="preserve">Puertas P4 (ver especificaciones y planos) </t>
  </si>
  <si>
    <t>Barras antipánico en puertas exteriores</t>
  </si>
  <si>
    <t>Puertas P1 (ver especificaciones y planos) incluye manilleria</t>
  </si>
  <si>
    <t xml:space="preserve">Puertas P2 (ver especificaciones y planos) incluye manilleria </t>
  </si>
  <si>
    <t>Puertas P3 (ver especificaciones y planos) incluye manilleria</t>
  </si>
  <si>
    <t>Manilleria tipo palanca en puerta P4 (ver especificaciones)</t>
  </si>
  <si>
    <t>Ventanas de aluminio (Ver especificaciones)</t>
  </si>
  <si>
    <t xml:space="preserve">Relleno bajo acera con material producto de excavaciones </t>
  </si>
  <si>
    <t xml:space="preserve">Bordillos de 2 linea </t>
  </si>
  <si>
    <t>Piso de hormigón violinado (terminación semi-pulida)</t>
  </si>
  <si>
    <t>Acera Perimetral (ancho =1.20mt)</t>
  </si>
  <si>
    <t xml:space="preserve">Pinturas </t>
  </si>
  <si>
    <t xml:space="preserve">Pintura acrílica en muros y techos  (2 manos) </t>
  </si>
  <si>
    <t>Pintura satinada en muros y columnas (hasta 1.50mt SNPT) (2 manos)</t>
  </si>
  <si>
    <t>Pintura siliconizada para base (ver especificaciones) (2 manos)</t>
  </si>
  <si>
    <t>Construcción Biblioteca</t>
  </si>
  <si>
    <t>Excavación en relleno y roca para zapatas muros de 6" (60%Roca y 40%Relleno)</t>
  </si>
  <si>
    <t>Excavación en relleno y roca para zapatas muros de 8" (60%Roca y 40%Relleno)</t>
  </si>
  <si>
    <t>Zapata de muros de 6"</t>
  </si>
  <si>
    <t>Columnas CF</t>
  </si>
  <si>
    <t>Piso de hormigón con malla electrosoldada (ver planos)</t>
  </si>
  <si>
    <t xml:space="preserve">Dinteles </t>
  </si>
  <si>
    <t>Viga VA1 (0.30x0.20)</t>
  </si>
  <si>
    <t>Viga VA2  (0.30x0.20)</t>
  </si>
  <si>
    <t>Viga VA7 (0.30*0.20)</t>
  </si>
  <si>
    <t>Viga VA3 = Viga VA4 = Viga VA5 = Viga VA6</t>
  </si>
  <si>
    <t>Bloques de 8" (BNP)</t>
  </si>
  <si>
    <t>Bloques de 6"  (BNP)</t>
  </si>
  <si>
    <t>Bloques de 6"  (SNP)</t>
  </si>
  <si>
    <t>Bloques de 8" (SNP)</t>
  </si>
  <si>
    <t>Suministro y Colocación de Correas Tipo "Z" (8"X3"X3/32")</t>
  </si>
  <si>
    <t>Suministro y Colocación Perfil HSS (4"X12´X1/4")</t>
  </si>
  <si>
    <t>Cerámica en Cocina; blanca brillante (ver especificaciones)</t>
  </si>
  <si>
    <t>Cerámica en baños; blanca brillante (ver especificaciones)</t>
  </si>
  <si>
    <t>Suministro y Colocación Panel tipo Sandwich para cubierta (ver especificaciones)</t>
  </si>
  <si>
    <t xml:space="preserve">Instalaciones Sanitarias </t>
  </si>
  <si>
    <t>pl</t>
  </si>
  <si>
    <t xml:space="preserve">Suministro e Instalación Válvulas fluxómetro cromada, en laton </t>
  </si>
  <si>
    <t xml:space="preserve">Suministro e Instalación Llaves monomando cromadas, en laton para lavamanos </t>
  </si>
  <si>
    <t xml:space="preserve">Suministro e Instalación Accesorios de drenaje para lavamanos </t>
  </si>
  <si>
    <t xml:space="preserve">Suministro e Instalación Tope de granito chino para 1 lavamanos </t>
  </si>
  <si>
    <t xml:space="preserve">Suministro e Instalación Tope de granito chino para fregadero doble </t>
  </si>
  <si>
    <t>Suministro e Instalación Fregadero Doble Tina en acero Inoxidable (calibre 18)</t>
  </si>
  <si>
    <t xml:space="preserve">Suministro e Instalación Lavamano ovalado para incrustrar en tope de granito </t>
  </si>
  <si>
    <t>Suministro e Instalación de Inodoros Blanco  (Sadosa Estandar)  para fluxómetro</t>
  </si>
  <si>
    <t>Suministro e Instalación de Duchas (todo incluido)</t>
  </si>
  <si>
    <t xml:space="preserve">Suministro e Instalación de Desagues de pisos de 2" incluye rejilla </t>
  </si>
  <si>
    <t xml:space="preserve">Suministro e Instalación de Espejos </t>
  </si>
  <si>
    <t xml:space="preserve">Suministro e Instalación de Dispensadores para jabón </t>
  </si>
  <si>
    <t xml:space="preserve">Suministro e Instalación de Dispensadores para papel de baños </t>
  </si>
  <si>
    <t xml:space="preserve">Suministro e Instalación de Toalleros </t>
  </si>
  <si>
    <t>Tuberias y Piezas para baños en PPR de 3/4"  (Incluye Mano de Obra)</t>
  </si>
  <si>
    <t>Tuberias y piezas de drenaje en PVC de 2" SDR-26 (Incl. Mano de Obra)</t>
  </si>
  <si>
    <t>Tuberias y piezas de descarga en PVC de 3" SDR-26 (Incl. M.O.)</t>
  </si>
  <si>
    <t xml:space="preserve">Bajante en 3" (PVC) incluye abrazadera y mano de obra </t>
  </si>
  <si>
    <t xml:space="preserve">Conf. Registros Sanitarios 0.90*0.90*0.40 (Incl. Tapa Hormigón) </t>
  </si>
  <si>
    <t>Conf. Trampa de Grasa (1.50*1.00*0.60) (incl. Tapa de hormigon)</t>
  </si>
  <si>
    <t xml:space="preserve">MISCELANEOS </t>
  </si>
  <si>
    <t xml:space="preserve">Piso en gramaquines; incluye acondicionamiento y nivelación </t>
  </si>
  <si>
    <r>
      <t xml:space="preserve">Construcción de Cisterna (Capacidad= 12 mil Galones) (ver planos) </t>
    </r>
    <r>
      <rPr>
        <b/>
        <u val="single"/>
        <sz val="10"/>
        <color indexed="8"/>
        <rFont val="Calibri"/>
        <family val="2"/>
      </rPr>
      <t xml:space="preserve">Considerar excavación en roca </t>
    </r>
  </si>
  <si>
    <r>
      <t xml:space="preserve">Hormigones sobre nivel de piso </t>
    </r>
    <r>
      <rPr>
        <b/>
        <i/>
        <sz val="11"/>
        <color indexed="56"/>
        <rFont val="Calibri"/>
        <family val="2"/>
      </rPr>
      <t>(Hormigón Visto)</t>
    </r>
  </si>
  <si>
    <t>2. EN CASO DE HABER DISCREPANCIAS EL ORDEN QUE PREVALECERA,  SERÁ EL SIGUIENTE: 1ERO. LOS PLANOS, 2DO. LAS ESPECIFICACIONES TÉCNICAS Y 3ERO. LAS LISTAS DE CANTIDADES</t>
  </si>
  <si>
    <t>3.- LOS PRECIOS EVALUADOS DEBEN ESTAR ACORDES AL MERCADO NACIONAL, EVALUARSE ALGUN PRODUCTO QUE NO SE ENCUENTRA EN EL MERCADO NACIONAL,  SERA EVALUADO A LA TASA DEL DÓLAR OFICIAL ESTABLECIDA A LA FECHA</t>
  </si>
  <si>
    <t>1. LEER  DETENIDAMENTE LAS ESPECIFICACIONES TECNICAS Y LOS PLANOS</t>
  </si>
  <si>
    <t xml:space="preserve">NOTAS: </t>
  </si>
  <si>
    <t>OFICINA DE COOPERACION INTERNACIONAL (OCI)</t>
  </si>
  <si>
    <t>Aula para Muliuso / Salón de Ciencias / Artes Dramatica / Danza / Otros</t>
  </si>
  <si>
    <t xml:space="preserve">Replanteo con brigada topográfica </t>
  </si>
  <si>
    <t>Replanteo del Módulo (con brigada topografica)</t>
  </si>
  <si>
    <t>Replanteo del Módulo (con brigada topográfica)</t>
  </si>
  <si>
    <t xml:space="preserve">Antepecho de Hormigon de 0.40 mt. de altura </t>
  </si>
  <si>
    <t xml:space="preserve">Antepecho de Hormigón de 020 mt. de altura </t>
  </si>
  <si>
    <t>Desague de techo (bajante de 3" PVC, SDR-26) incluye abrazaderas</t>
  </si>
  <si>
    <t>Puertas P4 (ver especificaciones y planos) incluye manilleria</t>
  </si>
  <si>
    <t xml:space="preserve">Losa y vuelos  (e=0.12mt) </t>
  </si>
  <si>
    <t>Confección Base para soporte de tope en blocks de 6" (incluye terminación) h=0.80mt SNP</t>
  </si>
  <si>
    <t>Excavación zapata de columnas (Roca 60% y Relleno 40%)</t>
  </si>
  <si>
    <t>Zapata de Columnas 0.90*0.90*0.25 (Ø½"@0.20 A.D.)</t>
  </si>
  <si>
    <t>Columnas Redondas (ver planos)  (hormigón visto)</t>
  </si>
  <si>
    <t>Viga de amarre Longitudinal (ver planos)  (hormigón visto)</t>
  </si>
  <si>
    <t>Viga de amarre transversales (ver planos)  (hormigón visto)</t>
  </si>
  <si>
    <t xml:space="preserve">Bordillos de 2 linea (para confinamiento) </t>
  </si>
  <si>
    <t>Pasarelas de Interconexiones</t>
  </si>
  <si>
    <t>Correas en perfil cuadrado de 2"x1½"x1/4"</t>
  </si>
  <si>
    <t>Zócalos de granito f/blanco preparado "In Situ"</t>
  </si>
  <si>
    <t>Confección y Coloc. Cubierta con Aluzinc AST M A792 (Calibre 24) Prepintado</t>
  </si>
  <si>
    <t xml:space="preserve">Pintura acrílica en columnas y vigas  (2 manos) </t>
  </si>
  <si>
    <t xml:space="preserve">Sub-Total (Presupuesto) </t>
  </si>
  <si>
    <t xml:space="preserve">Gastos Indirectos del Presupuesto </t>
  </si>
  <si>
    <t xml:space="preserve">Dirección Técnica y Responsabilidad Administrativa </t>
  </si>
  <si>
    <t xml:space="preserve">Gastos Administrativos </t>
  </si>
  <si>
    <t xml:space="preserve">Transporte </t>
  </si>
  <si>
    <t xml:space="preserve">Seguros y Fianzas </t>
  </si>
  <si>
    <t xml:space="preserve">Imprevistos </t>
  </si>
  <si>
    <t xml:space="preserve">Codia </t>
  </si>
  <si>
    <t xml:space="preserve">Itbis (Retención del 18% a la Dirección Técnica) </t>
  </si>
  <si>
    <t>Sub-Total (Gastos Indirectos)</t>
  </si>
  <si>
    <t xml:space="preserve">Total General del Presupuesto </t>
  </si>
  <si>
    <t xml:space="preserve">Siembra de grama enana (incluye colchon tierra negra e=0.20mt) </t>
  </si>
  <si>
    <t>Excavación zapata de columnas  z1</t>
  </si>
  <si>
    <t xml:space="preserve">Excavación zona de platea e=0.20mt </t>
  </si>
  <si>
    <t xml:space="preserve">Losa de Cimentación (Platea) e=0.30mt (ver planos) </t>
  </si>
  <si>
    <t xml:space="preserve">Columnas C2 </t>
  </si>
  <si>
    <t xml:space="preserve">Columnas C3 </t>
  </si>
  <si>
    <t xml:space="preserve">Viga V2 </t>
  </si>
  <si>
    <t>Viga V3</t>
  </si>
  <si>
    <t>Viga V4</t>
  </si>
  <si>
    <t>Viga V5</t>
  </si>
  <si>
    <r>
      <t xml:space="preserve">Centro Educativo </t>
    </r>
    <r>
      <rPr>
        <b/>
        <sz val="14"/>
        <color indexed="8"/>
        <rFont val="Calibri"/>
        <family val="2"/>
      </rPr>
      <t>"Ciudad Prof. Juan Bosch" Lote #1 (Area Aprox.= 11,200 mt²)</t>
    </r>
  </si>
  <si>
    <t>Acarreo material de préstamo @10km (Coef. Esponj. =1.25)</t>
  </si>
  <si>
    <t>mt³s/km</t>
  </si>
  <si>
    <t>VERJA PERIMETRAL EN MUROS Y COLUMNAS (H=3.00 MT SNP) 476.34ml</t>
  </si>
  <si>
    <t>GACEBOS 7.10x7.10  (2 Unds)</t>
  </si>
  <si>
    <t>Siembra de Grí - Grí</t>
  </si>
  <si>
    <t xml:space="preserve">Acera de hormigón simple violinado (terminación semipulida) e=0.10mt </t>
  </si>
  <si>
    <t>Piso de hormigón industrial (210 kg/cm²) (terminación pulida) e=0.10mt</t>
  </si>
  <si>
    <t>Piso de hormigón (160kg/cm²) violinado (terminación ranurada y lisa) e=0.10mt</t>
  </si>
  <si>
    <t xml:space="preserve">Colocación Hormigon pobre semipulido bajo grada (e=0.12mt) anclar grada </t>
  </si>
  <si>
    <t xml:space="preserve">Suministro e Instalación de Mini grada de aluminio de 3 asientos </t>
  </si>
  <si>
    <t>Piso de Hormigón con fibra de vidrio y con malla electrosoldada Ø2.3MM 0.10x0.10 (terminación pulida)</t>
  </si>
  <si>
    <t xml:space="preserve">Comedor con capacidad para 15 empleados (ver planos) </t>
  </si>
  <si>
    <t xml:space="preserve">Control de Calidad en Obra </t>
  </si>
  <si>
    <r>
      <t xml:space="preserve">Centro Educativo </t>
    </r>
    <r>
      <rPr>
        <b/>
        <sz val="14"/>
        <color indexed="8"/>
        <rFont val="Calibri"/>
        <family val="2"/>
      </rPr>
      <t xml:space="preserve">"Batey Gautier"  </t>
    </r>
  </si>
  <si>
    <t>Presupuesto</t>
  </si>
  <si>
    <t xml:space="preserve">Presupuesto </t>
  </si>
  <si>
    <t>Bote de material inservible e=1.25</t>
  </si>
  <si>
    <t>Acarreo material de relleno @15km (Coef. Esponj. =1.25)</t>
  </si>
  <si>
    <t>Compactación de material de relleno (ver especificaciones)</t>
  </si>
  <si>
    <t>Extracción material orgánico (desyerbe y corte capa vegetal) e=0.20mt</t>
  </si>
  <si>
    <t xml:space="preserve">Tuberias de agua potable PVC de ½" para regado plantas y grama </t>
  </si>
  <si>
    <t>VERJA PERIMETRAL EN MUROS Y COLUMNAS (H=3.00 MT SNP) 445.34ml</t>
  </si>
  <si>
    <t>Acondicionamiento del área  (replanteo y nivelación) e=0.10mt</t>
  </si>
  <si>
    <t>PARQUEO  (640.60 mt²)</t>
  </si>
  <si>
    <t>PARQUEO  (30.00 X 12.00)</t>
  </si>
  <si>
    <t xml:space="preserve">Compactación material de relleno para zona de parqueo </t>
  </si>
  <si>
    <t>Suministro y Colocación de Relleno en zona de parqueo (e=0.40mts)</t>
  </si>
  <si>
    <t xml:space="preserve">Construcción de Septicos Dobles (ver planos) </t>
  </si>
  <si>
    <t>Construcción de Pozo Tubular (encamisado en tubo de h.f. de 8")</t>
  </si>
  <si>
    <t xml:space="preserve">Suministro e instalación Bomba sumergible para pozo tubular </t>
  </si>
  <si>
    <t>Pl</t>
  </si>
  <si>
    <t xml:space="preserve">Pozo Filtrante (encamisado con tubo de 6" h.f.)  (3 unds) </t>
  </si>
  <si>
    <t>Derecho de Mina material de Relleno para conformar explanación</t>
  </si>
  <si>
    <t>mt³c/km</t>
  </si>
  <si>
    <t>Excavaciones : Hf=1.00 mts (40% Relleno y 60% Roca)</t>
  </si>
  <si>
    <t xml:space="preserve">Sanitaria </t>
  </si>
  <si>
    <t xml:space="preserve">Tubería de descarga PVC SDR-26, Ø4" (incluye piezas, m.o. ) </t>
  </si>
  <si>
    <t>Tuberia Ø2"  Descarga, PVC SDR-26 (incluye piezas y m.o.)</t>
  </si>
  <si>
    <t xml:space="preserve">MODULO DE AULAS </t>
  </si>
  <si>
    <t xml:space="preserve">Losa de cimentación e=0.30mt  (Platea) </t>
  </si>
  <si>
    <t xml:space="preserve">Excavación zona de platea e=0.15mt </t>
  </si>
  <si>
    <t>Viga V1</t>
  </si>
  <si>
    <t>1ra.  Planta</t>
  </si>
  <si>
    <t>2da. Planta</t>
  </si>
  <si>
    <t>3ra. Planta</t>
  </si>
  <si>
    <t>COLUMNAS  C2 40X40 CM.</t>
  </si>
  <si>
    <t>COLUMNAS  40X40 CM.</t>
  </si>
  <si>
    <t>BLOQUE A Y BLOQUE B</t>
  </si>
  <si>
    <t xml:space="preserve">COLUMNAS  C3 </t>
  </si>
  <si>
    <t>Cierre escalera central</t>
  </si>
  <si>
    <t>COLUMNAS MH1 (TAPA Y TAPA) 20X20 CM.</t>
  </si>
  <si>
    <t>Replanteo del Módulo (con brigada topográfica) 1ERO. Y 2DO. NIVEL</t>
  </si>
  <si>
    <t>COLUMNA C1 Ø  D=30 CM.</t>
  </si>
  <si>
    <t xml:space="preserve">MURO MH1. </t>
  </si>
  <si>
    <t xml:space="preserve">MURO MH2. </t>
  </si>
  <si>
    <t xml:space="preserve">MURO MH3. </t>
  </si>
  <si>
    <t xml:space="preserve">MURO MH4. </t>
  </si>
  <si>
    <t xml:space="preserve">MURO MH5. </t>
  </si>
  <si>
    <t xml:space="preserve">MURO MH6. </t>
  </si>
  <si>
    <t>VIGAS 30x40 CM.</t>
  </si>
  <si>
    <t>Vigas V6 y V7</t>
  </si>
  <si>
    <t>Viga V9</t>
  </si>
  <si>
    <t>Vigas V8, V12, V18 y V19</t>
  </si>
  <si>
    <t>Viga V17</t>
  </si>
  <si>
    <t>Vigas V8 y V9</t>
  </si>
  <si>
    <t>Vigas V10 y 12</t>
  </si>
  <si>
    <t>Vigas V11 y V13</t>
  </si>
  <si>
    <t>Vigas  V10 y V18</t>
  </si>
  <si>
    <t>Viga V2</t>
  </si>
  <si>
    <t>Viga V5 Y V6</t>
  </si>
  <si>
    <t>Viga V8</t>
  </si>
  <si>
    <t xml:space="preserve">Viga V5 </t>
  </si>
  <si>
    <t>VIGAS 30x50 CM.</t>
  </si>
  <si>
    <t>Vigas V2 y V4</t>
  </si>
  <si>
    <t>Vigas V3 y V5</t>
  </si>
  <si>
    <t>Vigas V9 y V11</t>
  </si>
  <si>
    <t>Viga V10</t>
  </si>
  <si>
    <t>Vigas V1 y V3</t>
  </si>
  <si>
    <t>Vigas V3  y V5</t>
  </si>
  <si>
    <t>Viga V12</t>
  </si>
  <si>
    <t>Viga V13</t>
  </si>
  <si>
    <t>VIGAS 20x40 CM.</t>
  </si>
  <si>
    <t>Viga V7</t>
  </si>
  <si>
    <t xml:space="preserve">ESCALERA CENTRAL (3er. Nivel) </t>
  </si>
  <si>
    <t xml:space="preserve">ESCALERA CENTRAL (1er. Nivel) </t>
  </si>
  <si>
    <t xml:space="preserve">ESCALERA CENTRAL (2do. Nivel) </t>
  </si>
  <si>
    <t xml:space="preserve">ESCALERAS LATERALES (1er. Nivel) </t>
  </si>
  <si>
    <t xml:space="preserve">ESCALERAS LATERALES (2do. Nivel) </t>
  </si>
  <si>
    <t xml:space="preserve">BLOQUE 1 (1er. Nivel) </t>
  </si>
  <si>
    <t xml:space="preserve">BLOQUE 1 (2do. Nivel) </t>
  </si>
  <si>
    <t xml:space="preserve">BLOQUE 2 (1er. Nivel) </t>
  </si>
  <si>
    <t xml:space="preserve">BLOQUE 2 (2do. Nivel) </t>
  </si>
  <si>
    <t>ESCALERAS CENTRAL (1er. Nivel)</t>
  </si>
  <si>
    <t xml:space="preserve">ESCALERAS CENTRAL (2do. Nivel) </t>
  </si>
  <si>
    <t xml:space="preserve">ESCALERAS CENTRAL (3er. Nivel) </t>
  </si>
  <si>
    <t xml:space="preserve">BLOQUE 3 (1er. Nivel) </t>
  </si>
  <si>
    <t xml:space="preserve">BLOQUE 4 (1er. Nivel) </t>
  </si>
  <si>
    <t>VIGAS 20x50 CM.</t>
  </si>
  <si>
    <t xml:space="preserve">BLQOUE 2 (1er. Nivel) </t>
  </si>
  <si>
    <t>VIGAS 30CM. ALTURA VARIABLE</t>
  </si>
  <si>
    <t>BLOQUE 1 TECHO</t>
  </si>
  <si>
    <t>Viga V19</t>
  </si>
  <si>
    <t>Viga V18</t>
  </si>
  <si>
    <t>BLOQUE 2 TECHO</t>
  </si>
  <si>
    <t xml:space="preserve">Viga V19 </t>
  </si>
  <si>
    <t>BOQUE 3 TECHO</t>
  </si>
  <si>
    <t>VIGAS 20CM. ALTURA VARIABLE</t>
  </si>
  <si>
    <t xml:space="preserve">Viga V 14  </t>
  </si>
  <si>
    <t>Viga V14 y V16</t>
  </si>
  <si>
    <t>Viga V 15</t>
  </si>
  <si>
    <t>BLOQUE 3 TECHO</t>
  </si>
  <si>
    <t>BLOQUE 4 TECHO</t>
  </si>
  <si>
    <t>VIGAS 25CM. ALTURA VARIABLE</t>
  </si>
  <si>
    <t>Viga V15 (altura media de la viga muro 0.83 m.)</t>
  </si>
  <si>
    <t>Viga V16 (altura media de la viga muro 0.84 m.)</t>
  </si>
  <si>
    <t>Viga VA     (altura media de la viga muro 1.80 m.)</t>
  </si>
  <si>
    <t>Viga V17 y V20 (altura media de la viga muro 0.82 m.)</t>
  </si>
  <si>
    <t>Viga V19 (altura media de la viga muro 0.84 m.)</t>
  </si>
  <si>
    <t xml:space="preserve">DINTELES SUPLEMENTARIOS </t>
  </si>
  <si>
    <t>Puertas Hormann (2.10 x 1.53) Laterales (Incluye Transos)  -Ver Planos-</t>
  </si>
  <si>
    <t>Puertas Hormann (2.10 x 2.25) Entrada Frontal (incluye Transos) -Ver Planos-</t>
  </si>
  <si>
    <t>Puerta Hormann (1.50 x 2.10) en Cocción (incluye Transos)  -Ver Planos-</t>
  </si>
  <si>
    <t xml:space="preserve">Barras antipánico en puertas </t>
  </si>
  <si>
    <t>Llavines para puertas de zincalum (tipo palanca) ver especificaciones</t>
  </si>
  <si>
    <t xml:space="preserve">Losa Inclinada de 15cm de espesor </t>
  </si>
  <si>
    <t>Losas en escaleras laterales</t>
  </si>
  <si>
    <t>Losas en escalera central</t>
  </si>
  <si>
    <t>BLOQUE 1,2,3,4 Y ESCALERA CENTRAL(entrepiso)</t>
  </si>
  <si>
    <t>BLOQUE 1,2 Y ESCALERA CENTRAL (techo)</t>
  </si>
  <si>
    <t>TECHO ESCALERA CENTRAL (tercer nivel)</t>
  </si>
  <si>
    <t xml:space="preserve">Losa Inclinada de 10cm de espesor </t>
  </si>
  <si>
    <t>BLOQUE 1,2,3 y 4 (entrepiso)</t>
  </si>
  <si>
    <t>BLOQUE 1,2,3 y 4 (techo)</t>
  </si>
  <si>
    <t>TECHOS ARMARIOS AULAS</t>
  </si>
  <si>
    <t>Vigas V8, V10, V11 y V12</t>
  </si>
  <si>
    <t>Bloques de 8" Industriales (ver especificaciones)</t>
  </si>
  <si>
    <t>Bloques de 6" Industriales (ver especificaciones)</t>
  </si>
  <si>
    <t>Bloques de 4" Industriales (ver especificaciones)</t>
  </si>
  <si>
    <t xml:space="preserve">Tabique en Durock  (ver planos) </t>
  </si>
  <si>
    <t xml:space="preserve">Losa Inclinada de 12cm de espesor </t>
  </si>
  <si>
    <t>HORMIGON EN LOSAS DE ENTREPISO y ESCALERAS</t>
  </si>
  <si>
    <t>Techo escalera tercera planta</t>
  </si>
  <si>
    <t xml:space="preserve">Antepechos DE Hormigón Armado </t>
  </si>
  <si>
    <t xml:space="preserve">Techo plano (antepecho) </t>
  </si>
  <si>
    <t xml:space="preserve">Violinado en bloques (luego de pañetado) </t>
  </si>
  <si>
    <t xml:space="preserve">Cantos </t>
  </si>
  <si>
    <t xml:space="preserve">Escalera </t>
  </si>
  <si>
    <t xml:space="preserve">Barandas o Pasamanos de escaleras (ver especificaciones) </t>
  </si>
  <si>
    <t xml:space="preserve">Escalones de granito f/blanco (ver especificaciones) </t>
  </si>
  <si>
    <t xml:space="preserve">Zócalos de granito f/blanco (1.00x0.07) </t>
  </si>
  <si>
    <t xml:space="preserve">Descanso en losa de granito 0.30x0.30 (f/blanco) </t>
  </si>
  <si>
    <t>Zócalos de granito f/blanco (en descanso de escalera)</t>
  </si>
  <si>
    <t>soporte</t>
  </si>
  <si>
    <t>Confección soporte de tope en blocks de 6" (incluye terminación) h=0.80mt SNP (3 bases por meseta)</t>
  </si>
  <si>
    <t>Suministro e Instalación de Espejos  (1.80mt  x 0.80mt)</t>
  </si>
  <si>
    <t xml:space="preserve">Suministro e Instalación Tope de granito chino para 4 lavamanos </t>
  </si>
  <si>
    <t>Bebederos multiestación (3 estaciones) en acero inoxidable  (ver diseño)</t>
  </si>
  <si>
    <t>Vertedero de limpieza, revestido en cerámica (0.60x0.60)</t>
  </si>
  <si>
    <t xml:space="preserve">Tuberias de ventilación de 4" </t>
  </si>
  <si>
    <t xml:space="preserve">Suministro e Instalació de Orinales en seco (PVC) </t>
  </si>
  <si>
    <t>Puertas P1 y P2 (ver especificaciones y planos) incluye manilleria</t>
  </si>
  <si>
    <t>Tuberias y Piezas para baños en Poliestileno de 3/4"  (Incluye Mano de Obra)</t>
  </si>
  <si>
    <t>Tuberias y Piezas para baños en Poliest. de 3/4"  (Incluye Mano de Obra)</t>
  </si>
  <si>
    <t>Tuberias y Piezas para baños en Poliest. de 1/2"  (Incluye Mano de Obra)</t>
  </si>
  <si>
    <t>1er. Nivel y Escaleras</t>
  </si>
  <si>
    <t xml:space="preserve">2do. Nivel </t>
  </si>
  <si>
    <t xml:space="preserve">Pasamanos en Balcón y Escalera </t>
  </si>
  <si>
    <t xml:space="preserve">AULA INICIAL DOBLE </t>
  </si>
  <si>
    <t xml:space="preserve">Excavación zona de platea (ver planos) </t>
  </si>
  <si>
    <t>Zapata aisladas Z1</t>
  </si>
  <si>
    <t>Viga V1, V6, V8 y V9</t>
  </si>
  <si>
    <t xml:space="preserve">Viga V3 y V4 </t>
  </si>
  <si>
    <t xml:space="preserve">Antepecho de Hormigon de 0.20 mt. de altura </t>
  </si>
  <si>
    <t xml:space="preserve">Ducha completa (incluye tina con bordillo de 0.20mt) </t>
  </si>
  <si>
    <t>Puertas P5 (ver especificaciones y planos) incluye manilleria</t>
  </si>
  <si>
    <t xml:space="preserve">Separadores para urinales en Fenólico Sólido (color blanco) </t>
  </si>
  <si>
    <t xml:space="preserve">Separadores para Inodoros en Fenólico Sólido (color blanco) </t>
  </si>
  <si>
    <t>CONSTRUCCION DE COCINA - COMEDOR  (Tipo 3-R)</t>
  </si>
  <si>
    <t xml:space="preserve">Tuberias drenaje sanitario y pluvial (PVC de 8") </t>
  </si>
  <si>
    <t>Alambre Trinchera (Incluye palometas en barras de ½") Forma V</t>
  </si>
  <si>
    <t>Puertas P6 (ver especificaciones y planos) incluye manilleria</t>
  </si>
  <si>
    <t>Interconexiones</t>
  </si>
  <si>
    <t>ELECTRICIDAD GENERAL</t>
  </si>
  <si>
    <t>Pies</t>
  </si>
  <si>
    <t xml:space="preserve">Perfileria para paneles frigorificos </t>
  </si>
  <si>
    <t>Paneles frigoríficos de conservación 60mm de espesor, varilla enroscada y tuercas con tapones de PVC</t>
  </si>
  <si>
    <t>baños</t>
  </si>
  <si>
    <t>MISCELANEOS (PARA MODULO DE AULAS)</t>
  </si>
  <si>
    <t>Separadores para cabina de inodoros y urinales en Fenólico Sólido color Blanco (anclaje en piso y techo)</t>
  </si>
  <si>
    <t>AREAS EXTERIORES A MODULOS</t>
  </si>
  <si>
    <t xml:space="preserve">Paisajismo </t>
  </si>
  <si>
    <t xml:space="preserve">Exteriores </t>
  </si>
  <si>
    <t>Tuberia de 3" drenaje PVC SDR-26 (incluye piezas y m.o.)</t>
  </si>
  <si>
    <t xml:space="preserve">Tuberias Poliestileno de 1½" (incl. M.O. y piezas) </t>
  </si>
  <si>
    <t>Tuberias Poliestileno de 1"  (incl. M.O. y piezas)  agua fria</t>
  </si>
  <si>
    <t>Tuberias Poliestileno de ¾"  (incl. M.O. y piezas)  agua fria</t>
  </si>
  <si>
    <t>Tuberias Poliestileno de ½"  (incl. M.O. y piezas)  agua fria</t>
  </si>
  <si>
    <t>Tuberias Poliestileno de ¾"  (incl. M.O. y piezas)  agua caliente</t>
  </si>
  <si>
    <t>Tuberia de Ø025, PN16, Polietileno, para gas propano, inc. encamisado, piezas y mano de obra</t>
  </si>
  <si>
    <t>Tuberia de Ø018, PN16, Polietileno, para gas propano, inc. encamisado, piezas y mano de obra</t>
  </si>
  <si>
    <t>Manifold para gas con entrada de Ø1",1 salida de Ø025ʺ y 3 de Ø018ʺ, con sus valvulas de paso por salida.</t>
  </si>
  <si>
    <t>Ud</t>
  </si>
  <si>
    <t>Tuberia bajante para gas de Ø1" en H.N.</t>
  </si>
  <si>
    <t>Tuberia de distribucion para gas de Ø1" en H.N.</t>
  </si>
  <si>
    <t>Tuberia para llenado tanque de gas y toma de Ø1" en H.N.</t>
  </si>
  <si>
    <t>Valvula de paso de bola para Gas de Ø1ʺ inc. piezas y accesorios</t>
  </si>
  <si>
    <t>Canaleta de hormigon con parrilla en A.Inox. (ancho= 0.30mts.)</t>
  </si>
  <si>
    <t>Estacion de manguera de 50' x ¾ʺ</t>
  </si>
  <si>
    <t>Drenaje de piso de Ø3ʺ</t>
  </si>
  <si>
    <t>Drenaje de piso de Ø2ʺ</t>
  </si>
  <si>
    <t>Ventilacion de Ø3ʺ PVC</t>
  </si>
  <si>
    <t>Bajante aguas pluviales Ø3" PVC, inc. boquilla y piezas</t>
  </si>
  <si>
    <t xml:space="preserve">Pasante aguas pluviales Ø2" PVC, </t>
  </si>
  <si>
    <t>Valvula de paso de bola para A.P. de Ø1½ʺ inc. piezas y accesorios</t>
  </si>
  <si>
    <t>Valvula de paso de bola para A.P. de Ø1ʺ inc. piezas y accesorios</t>
  </si>
  <si>
    <t>Valvula de paso de bola para A.P. de Ø¾ʺ inc. piezas y accesorios</t>
  </si>
  <si>
    <t>Valvula de flujo horizontal (Check) para A.P. de Ø1½ʺ inc. piezas especiales</t>
  </si>
  <si>
    <t>Accesorios baños (papelera y jabonera) inc. instalacion</t>
  </si>
  <si>
    <t>P. A.</t>
  </si>
  <si>
    <t>Piezas especiales POLIETILENO</t>
  </si>
  <si>
    <t>Piezas especiales PVC</t>
  </si>
  <si>
    <t>Piezas especiales Hierro Negro (H.N.)</t>
  </si>
  <si>
    <t>Tinaco de 500 Gal.</t>
  </si>
  <si>
    <t>Calentador de agua a gas "Lorenzetti" de 16 Lts</t>
  </si>
  <si>
    <t>Camara de inspeccion (0.80 x 0.80 x 0.60)</t>
  </si>
  <si>
    <t>Trampa de grasa (1.00 x 1.00 x 0.60)</t>
  </si>
  <si>
    <t>Tuberia de descarga Ø4ʺ PVC,  inc. exc., piezas y mano de obra.</t>
  </si>
  <si>
    <t>Tuberia de descarga Ø3ʺ PVC, inc. exc., piezas y mano de obra.</t>
  </si>
  <si>
    <t>Tuberia de Ø2" Polietileno, inc. exc., piezas y mano de obra</t>
  </si>
  <si>
    <t>Tuberia de Ø1½" Polietileno, inc. exc., piezas y mano de obra</t>
  </si>
  <si>
    <t>Tuberia de Ø1" Polietileno, inc. piezas y mano de obra</t>
  </si>
  <si>
    <t>Tuberia de Ø½" Polietileno, inc. piezas y mano de obra</t>
  </si>
  <si>
    <t>Ducha y pileta, inc. piezas y M.O.</t>
  </si>
  <si>
    <t>Bajante aguas pluviales Ø2" PVC, inc. boquilla y piezas</t>
  </si>
  <si>
    <t>Valvula de paso de bola de Ø2ʺ inc. piezas y accesorios</t>
  </si>
  <si>
    <t>Valvula de paso de bola de Ø1½ʺ inc. piezas y accesorios</t>
  </si>
  <si>
    <t>Valvula de paso de bola de Ø1ʺ inc. piezas y accesorios</t>
  </si>
  <si>
    <t>Terminación de Superficies y Sanitaria</t>
  </si>
  <si>
    <t>Excavacion en suelo duro para coloc. tuberias (0.40 x 0.40) inc. reposicion material y bote</t>
  </si>
  <si>
    <t>Tuberia de Ø1" Polietileno, inc. exc., piezas y mano de obra</t>
  </si>
  <si>
    <t>m3</t>
  </si>
  <si>
    <t>Excavacion en suelo duro para colocacion tuberias drenaje hacia cloaca (0.8 x 1.6) inc. reposicion material y bote</t>
  </si>
  <si>
    <t>Excavacion en suelo duro para colocacion tuberias agua potable y reguio (0.4 x 0.6) inc. reposicion material y bote</t>
  </si>
  <si>
    <t>Tuberia de arrastre Ø4ʺ PVC,  hacia cloaca y mano de obra.</t>
  </si>
  <si>
    <t>Tuberia de Ø2" PVC, SDR-26, inc. asiento de arena, piezas y mano de obra</t>
  </si>
  <si>
    <t>Piso de Granito vaciado In Situ (Ver diseño)</t>
  </si>
  <si>
    <t>Zocalos de granito  0.07 de altura</t>
  </si>
  <si>
    <t>Pinturas</t>
  </si>
  <si>
    <t xml:space="preserve">Suministro e Instalación de Mini grada con 4 asientos de 8.00 ml de longitud, de aluminio con tope de madera </t>
  </si>
  <si>
    <r>
      <t xml:space="preserve">Centro Educativo </t>
    </r>
    <r>
      <rPr>
        <b/>
        <sz val="14"/>
        <color indexed="8"/>
        <rFont val="Calibri"/>
        <family val="2"/>
      </rPr>
      <t>"Ciudad Prof. Juan Bosch" Lote #2 (Area Aprox.= 10,100 mt²)</t>
    </r>
  </si>
  <si>
    <t>Bote de material inservible o sobrante e=1.35</t>
  </si>
  <si>
    <t>Bote de material inservible o sobrante e=1.35 distancia libre 1km</t>
  </si>
  <si>
    <t>4ta. Planta</t>
  </si>
  <si>
    <t xml:space="preserve">BLOQUE 1 (3ro. Nivel) </t>
  </si>
  <si>
    <t xml:space="preserve">BLOQUE 2 (3er. Nivel) </t>
  </si>
  <si>
    <t xml:space="preserve">ESCALERAS LATERALES (3ro. Nivel) </t>
  </si>
  <si>
    <t xml:space="preserve">ESCALERAS CENTRAL (4to. Nivel) </t>
  </si>
  <si>
    <t xml:space="preserve">BLOQUE 1 (3er. Nivel) </t>
  </si>
  <si>
    <t xml:space="preserve">ESCALERAS LATERALES (3er. Nivel) </t>
  </si>
  <si>
    <t xml:space="preserve">ESCALERA CENTRAL (4to. Nivel) </t>
  </si>
  <si>
    <t>TECHO ESCALERA CENTRAL (4to. nivel)</t>
  </si>
  <si>
    <t xml:space="preserve">3er. Nivel </t>
  </si>
  <si>
    <t>MODULO DE AULAS (3 NIVELES)</t>
  </si>
  <si>
    <t xml:space="preserve">Relleno compactado calcihe a mano </t>
  </si>
  <si>
    <t>Vigas V1 y V2</t>
  </si>
  <si>
    <t xml:space="preserve">BLOQUE 2 (3r. Nivel) </t>
  </si>
  <si>
    <t>VIGAS 30x60 CM.</t>
  </si>
  <si>
    <t>Vigas V4, V5, V6</t>
  </si>
  <si>
    <t>Vigas V3-V11</t>
  </si>
  <si>
    <t>Vigas V8, V9, V10 Y V11</t>
  </si>
  <si>
    <t>VIGAS VA (0.20X0.60)</t>
  </si>
  <si>
    <t xml:space="preserve">Bloque 1 : 1 Nivel y 2do. Nivel </t>
  </si>
  <si>
    <t>Bloque 2: 1 Nivel, 2do. Nivel y 3er. Nivel</t>
  </si>
  <si>
    <t xml:space="preserve">Vigas (Altura Variable) </t>
  </si>
  <si>
    <t>Viga V9 y V10</t>
  </si>
  <si>
    <t>Viga V11 y V12</t>
  </si>
  <si>
    <t>Viga V7 y V8</t>
  </si>
  <si>
    <t>Viga V17 y V18</t>
  </si>
  <si>
    <t>Viga V12, V13 y V16</t>
  </si>
  <si>
    <t>Viga V14 y V14</t>
  </si>
  <si>
    <t>BLOQUE 1,2 ESCALERA CENTRAL(entrepiso 1er. nivel)</t>
  </si>
  <si>
    <t>BLOQUE 1,2 Y ESCALERA CENTRAL(entrepiso 2do. nivel)</t>
  </si>
  <si>
    <t>BLOQUE 1,2 Y ESCALERA CENTRAL (techo 3er. nivel)</t>
  </si>
  <si>
    <t xml:space="preserve">Losa en vuelo de 10cm de espesor </t>
  </si>
  <si>
    <t>BLOQUE 1,2  (entrepisos 1er. nivel)</t>
  </si>
  <si>
    <t>BLOQUE 1,2  (entrepisos 2do. nivel)</t>
  </si>
  <si>
    <t>BLOQUE 1,2  (techo)</t>
  </si>
  <si>
    <t>Suministro e instalacion de salida cenital para Iluminacion . Incluye los siguientes materiales: Tuberia PVC SDR-26 Ø 1/2", Curva PVC 90º, Alambres Americano THHN #12, Caja Octagonal con KO Ø 1/2", Tape 3M Super Scotch 33+ y accesorios. (Ver planos electricos).</t>
  </si>
  <si>
    <t>Suministro e instalacion de salida cenital para Iluminacion de pasillo. Incluye los siguientes materiales: Tuberia PVC SDR-26 Ø 1/2", Curva PVC 90º, Alambres Americano THHN #12, Caja Octagonal con KO Ø 1/2", Tape 3M Super Scotch 33+ y accesorios. (Ver planos electricos).</t>
  </si>
  <si>
    <t>Suministro e instalacion de Lampara Estanca 2 x 32w. 6500k, 120v,60Hz.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</si>
  <si>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</si>
  <si>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3 Way.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</si>
  <si>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general.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</si>
  <si>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</si>
  <si>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GFCI. Incluye: Tuberia PVC SDR-26 Ø 1/2", Curva PVC 90º, Alambres Americano THHN #12, Caja rectangular 2"x4" KO Ø 1/2", Tape 3M Super Scotch 33+ y accesorio marca Bticino Modus Plus o similar, color Crema o Blanco.</t>
  </si>
  <si>
    <t>Suministro e instalacion de Panel electrico Principal 16 Circuitos GE, con Breaker gruesos 7BK 20A/1.</t>
  </si>
  <si>
    <t>Suministro e Instalacion de Encloused Breaker con Main Breaker  150A/2 y 2 BK 80A/2 NEMA 3R.</t>
  </si>
  <si>
    <t>Suministro e instalacion de alimentador desde transformador monofasico existente hasta Encloused breaker propuesto. Incluye materiales tales como: Alambre Americano 2 THHN  #2, 1 THHN#4, 1 THHN #6, Tuberia PVC SDR-26 de 2"</t>
  </si>
  <si>
    <t>Media Tension</t>
  </si>
  <si>
    <t>Tornillos maquinados 5/8" x 12"</t>
  </si>
  <si>
    <t>Soportes doble unidad</t>
  </si>
  <si>
    <t>Cut out de 100 Amp ABB</t>
  </si>
  <si>
    <t>Apartarrayos de 9 kV</t>
  </si>
  <si>
    <t>Conos de alivio de exterior 3M completo</t>
  </si>
  <si>
    <t>Cables URD #2 a 1/3</t>
  </si>
  <si>
    <t>Elbow conector</t>
  </si>
  <si>
    <t>Tubos IMC de 2"</t>
  </si>
  <si>
    <t>Adaptador hembra PVC de 2"</t>
  </si>
  <si>
    <t>Tubos PVC de 2"</t>
  </si>
  <si>
    <t>Curvas PVC de 2"</t>
  </si>
  <si>
    <t xml:space="preserve">Excavación y tapado de zanja primario </t>
  </si>
  <si>
    <t>Base de transformador</t>
  </si>
  <si>
    <t>Pozo de Tierra</t>
  </si>
  <si>
    <t>Varilla de Tierra 8'x5/8'' con su conector</t>
  </si>
  <si>
    <t>Suministro de Transformador tipo Pad Mounted, sumergido en aceite, radial feed, de 37.5 Kva, 7,200/120-208V, 60 HZ. .</t>
  </si>
  <si>
    <t>Diseño y Tramitacion de Plano electrico .</t>
  </si>
  <si>
    <t>Mano de obra Electrica de media Tension</t>
  </si>
  <si>
    <t>ELECTRICIDAD DE MODULOS DE AULAS</t>
  </si>
  <si>
    <t>MODULO DE ADMINISTRACION</t>
  </si>
  <si>
    <t>Suministro e instalacion de alimentador desde  Incluye materiales tales como: Alambre Americano 2 THHN  #2, 1 THHN#4, 1 THHN #6, Tuberia PVC SDR-26 de 2"</t>
  </si>
  <si>
    <t xml:space="preserve">MODULO BIBLIOTECA </t>
  </si>
  <si>
    <t>Suministro e instalacion de Panel electrico 4-8 Circuitos GE, con Breaker gruesos 7BK 20A/1.</t>
  </si>
  <si>
    <t>Suministro e instalacion de Panel electrico  4-8 Circuitos GE, con Breaker gruesos 7BK 20A/1.</t>
  </si>
  <si>
    <t xml:space="preserve">SALON MULTIUSO </t>
  </si>
  <si>
    <t xml:space="preserve">AULA INICIAL </t>
  </si>
  <si>
    <t xml:space="preserve">ELECTRICIDAD GENERAL </t>
  </si>
  <si>
    <t xml:space="preserve">Suministro e Instalación de Lamparas de mercurio de 125w (tipo secador) (parqueo) </t>
  </si>
  <si>
    <t xml:space="preserve">Suministro e Instalación de Lamparas metal halide de 500w para cancha </t>
  </si>
  <si>
    <t>Suministro e instalacion de alimentador para cancha.  Incluye materiales tales como: Alambre Americano 2 THHN  #2, 1 THHN#4, 1 THHN #6, Tuberia PVC SDR-26 de 2"</t>
  </si>
  <si>
    <r>
      <t xml:space="preserve">Suministro e instalación de Postes de Hormigón de 25 pies </t>
    </r>
    <r>
      <rPr>
        <b/>
        <sz val="11"/>
        <color indexed="8"/>
        <rFont val="Calibri"/>
        <family val="2"/>
      </rPr>
      <t>(parqueo y cancha) todo incluido</t>
    </r>
  </si>
  <si>
    <t xml:space="preserve">Material gastable </t>
  </si>
  <si>
    <t xml:space="preserve">Suministro e instalacion de salida cenital para Iluminacion . Incluye los siguientes materiales: Tuberia PVC SDR-26 Ø 1/2", Curva PVC 90º, Alambres Americano THHN #12, Caja Octagonal con KO Ø 1/2", Tape 3M Super Scotch 33+ y accesorios. Paredes Módulos, </t>
  </si>
  <si>
    <t>Suministro e instalacion de Lampara Reflectoras de 125Watts en Led.</t>
  </si>
  <si>
    <t xml:space="preserve">Electricidad General </t>
  </si>
  <si>
    <t>Suministro e instalacion de alimentador para parqueo.  Incluye materiales tales como: Alambre Americano 2 THHN  #2, 1 THHN#4, 1 THHN #6, Tuberia PVC SDR-26 de 2"</t>
  </si>
  <si>
    <t>Electricidad General</t>
  </si>
  <si>
    <t>Abanicos de Pared KDK o similar (24 Aulas, Administración, Salón Multiuso, Biblioteca)</t>
  </si>
  <si>
    <t xml:space="preserve">Antepechos de Hormigón Armado </t>
  </si>
  <si>
    <t xml:space="preserve">En Pasarela </t>
  </si>
  <si>
    <t xml:space="preserve">Fino en Techo Plano </t>
  </si>
  <si>
    <t xml:space="preserve">Impermeabilizante Lona Poliester de 3mm de 4kg (granular) </t>
  </si>
  <si>
    <t>Zabaleta de techo plano (pasarela)</t>
  </si>
  <si>
    <t xml:space="preserve">Plafon de PVC </t>
  </si>
  <si>
    <t xml:space="preserve">Desague de techo de 3" </t>
  </si>
  <si>
    <t xml:space="preserve">Losa en armarios </t>
  </si>
  <si>
    <t xml:space="preserve">Cantos de terminacion </t>
  </si>
  <si>
    <t>Losas en escaleras central 3er nivel</t>
  </si>
  <si>
    <t>mt3</t>
  </si>
  <si>
    <t>Losas rampa en escaleras</t>
  </si>
  <si>
    <t>Mt3</t>
  </si>
  <si>
    <t>Losa pasarela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</si>
</sst>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00"/>
    <numFmt numFmtId="179" formatCode="[$-1C0A]d&quot; de &quot;mmmm&quot; de &quot;yyyy;@"/>
    <numFmt numFmtId="180" formatCode="0.000000"/>
    <numFmt numFmtId="181" formatCode="0.00000"/>
    <numFmt numFmtId="182" formatCode="0.0000"/>
    <numFmt numFmtId="183" formatCode="0.000"/>
    <numFmt numFmtId="184" formatCode="0.000%"/>
    <numFmt numFmtId="185" formatCode="0.0%"/>
    <numFmt numFmtId="186" formatCode="#,##0.0"/>
    <numFmt numFmtId="187" formatCode="[$-1C0A]dddd\,\ dd&quot; de &quot;mmmm&quot; de &quot;yyyy"/>
    <numFmt numFmtId="188" formatCode="[$-F800]dddd\,\ mmmm\ dd\,\ yyyy"/>
    <numFmt numFmtId="189" formatCode="[$-1C0A]dddd\,\ d\ &quot;de&quot;\ mmmm\ &quot;de&quot;\ yyyy"/>
    <numFmt numFmtId="190" formatCode="#0#"/>
    <numFmt numFmtId="191" formatCode="#,##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0"/>
      <color indexed="43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.95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7.95"/>
      <color indexed="60"/>
      <name val="Arial"/>
      <family val="2"/>
    </font>
    <font>
      <b/>
      <sz val="12"/>
      <color indexed="56"/>
      <name val="Calibri"/>
      <family val="2"/>
    </font>
    <font>
      <b/>
      <u val="single"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u val="single"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2" tint="-0.24997000396251678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sz val="9"/>
      <color theme="1"/>
      <name val="Calibri"/>
      <family val="2"/>
    </font>
    <font>
      <b/>
      <sz val="11"/>
      <color rgb="FF002060"/>
      <name val="Calibri"/>
      <family val="2"/>
    </font>
    <font>
      <b/>
      <sz val="10"/>
      <color theme="1"/>
      <name val="Calibri"/>
      <family val="2"/>
    </font>
    <font>
      <sz val="7.95"/>
      <color rgb="FF000000"/>
      <name val="Arial"/>
      <family val="2"/>
    </font>
    <font>
      <b/>
      <u val="single"/>
      <sz val="12"/>
      <color theme="1"/>
      <name val="Calibri"/>
      <family val="2"/>
    </font>
    <font>
      <b/>
      <sz val="7.95"/>
      <color theme="5" tint="-0.24997000396251678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  <font>
      <b/>
      <u val="single"/>
      <sz val="10"/>
      <color theme="1"/>
      <name val="Calibri"/>
      <family val="2"/>
    </font>
    <font>
      <u val="single"/>
      <sz val="14"/>
      <color theme="3"/>
      <name val="Calibri"/>
      <family val="2"/>
    </font>
    <font>
      <b/>
      <i/>
      <u val="single"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33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" fontId="56" fillId="0" borderId="0" xfId="0" applyNumberFormat="1" applyFont="1" applyAlignment="1">
      <alignment horizontal="right" vertical="center"/>
    </xf>
    <xf numFmtId="4" fontId="57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vertical="center"/>
    </xf>
    <xf numFmtId="0" fontId="58" fillId="33" borderId="14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right" vertical="center"/>
    </xf>
    <xf numFmtId="4" fontId="5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4" fontId="59" fillId="33" borderId="14" xfId="0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0" fontId="61" fillId="34" borderId="15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56" fillId="0" borderId="0" xfId="0" applyFont="1" applyAlignment="1">
      <alignment horizontal="center" vertical="center"/>
    </xf>
    <xf numFmtId="4" fontId="56" fillId="0" borderId="0" xfId="51" applyNumberFormat="1" applyFont="1" applyBorder="1" applyAlignment="1">
      <alignment vertical="center"/>
    </xf>
    <xf numFmtId="4" fontId="56" fillId="0" borderId="0" xfId="57" applyNumberFormat="1" applyFont="1" applyBorder="1" applyAlignment="1">
      <alignment horizontal="right" vertical="center"/>
    </xf>
    <xf numFmtId="0" fontId="28" fillId="0" borderId="15" xfId="0" applyFont="1" applyBorder="1" applyAlignment="1">
      <alignment vertical="center" wrapText="1"/>
    </xf>
    <xf numFmtId="183" fontId="56" fillId="0" borderId="0" xfId="0" applyNumberFormat="1" applyFont="1" applyAlignment="1">
      <alignment vertical="center"/>
    </xf>
    <xf numFmtId="183" fontId="62" fillId="0" borderId="0" xfId="0" applyNumberFormat="1" applyFont="1" applyBorder="1" applyAlignment="1">
      <alignment horizontal="right" vertical="center"/>
    </xf>
    <xf numFmtId="183" fontId="5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10" fontId="0" fillId="0" borderId="0" xfId="57" applyNumberFormat="1" applyFont="1" applyAlignment="1">
      <alignment horizontal="right" vertical="center" wrapText="1"/>
    </xf>
    <xf numFmtId="0" fontId="56" fillId="35" borderId="0" xfId="0" applyFont="1" applyFill="1" applyAlignment="1">
      <alignment vertical="center" wrapText="1"/>
    </xf>
    <xf numFmtId="0" fontId="56" fillId="35" borderId="0" xfId="0" applyFont="1" applyFill="1" applyAlignment="1">
      <alignment horizontal="center" vertical="center"/>
    </xf>
    <xf numFmtId="4" fontId="56" fillId="35" borderId="0" xfId="0" applyNumberFormat="1" applyFont="1" applyFill="1" applyAlignment="1">
      <alignment vertical="center"/>
    </xf>
    <xf numFmtId="4" fontId="56" fillId="35" borderId="0" xfId="0" applyNumberFormat="1" applyFont="1" applyFill="1" applyBorder="1" applyAlignment="1">
      <alignment horizontal="right" vertical="center"/>
    </xf>
    <xf numFmtId="0" fontId="23" fillId="35" borderId="0" xfId="0" applyFont="1" applyFill="1" applyAlignment="1">
      <alignment vertical="center" wrapText="1"/>
    </xf>
    <xf numFmtId="0" fontId="55" fillId="0" borderId="0" xfId="0" applyFont="1" applyBorder="1" applyAlignment="1">
      <alignment horizontal="left" vertical="center" indent="1"/>
    </xf>
    <xf numFmtId="0" fontId="63" fillId="0" borderId="0" xfId="0" applyFont="1" applyBorder="1" applyAlignment="1">
      <alignment horizontal="left" vertical="top" wrapText="1" indent="3"/>
    </xf>
    <xf numFmtId="0" fontId="63" fillId="0" borderId="0" xfId="0" applyFont="1" applyAlignment="1">
      <alignment horizontal="left" vertical="top" wrapText="1" indent="3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top" wrapText="1" indent="2"/>
    </xf>
    <xf numFmtId="0" fontId="65" fillId="0" borderId="0" xfId="0" applyFont="1" applyBorder="1" applyAlignment="1">
      <alignment horizontal="left" vertical="top" wrapText="1" indent="2"/>
    </xf>
    <xf numFmtId="0" fontId="63" fillId="0" borderId="0" xfId="0" applyFont="1" applyAlignment="1">
      <alignment horizontal="left" vertical="top" wrapText="1" indent="2"/>
    </xf>
    <xf numFmtId="0" fontId="63" fillId="0" borderId="0" xfId="0" applyFont="1" applyBorder="1" applyAlignment="1">
      <alignment horizontal="left" vertical="top" wrapText="1" indent="2"/>
    </xf>
    <xf numFmtId="0" fontId="65" fillId="0" borderId="0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4" fontId="58" fillId="33" borderId="14" xfId="0" applyNumberFormat="1" applyFont="1" applyFill="1" applyBorder="1" applyAlignment="1">
      <alignment horizontal="right" vertical="center"/>
    </xf>
    <xf numFmtId="4" fontId="66" fillId="33" borderId="14" xfId="0" applyNumberFormat="1" applyFont="1" applyFill="1" applyBorder="1" applyAlignment="1">
      <alignment vertical="center"/>
    </xf>
    <xf numFmtId="4" fontId="67" fillId="33" borderId="14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4" fontId="44" fillId="33" borderId="20" xfId="0" applyNumberFormat="1" applyFont="1" applyFill="1" applyBorder="1" applyAlignment="1">
      <alignment horizontal="right" vertical="center"/>
    </xf>
    <xf numFmtId="4" fontId="44" fillId="33" borderId="21" xfId="0" applyNumberFormat="1" applyFont="1" applyFill="1" applyBorder="1" applyAlignment="1">
      <alignment horizontal="right" vertical="center"/>
    </xf>
    <xf numFmtId="4" fontId="44" fillId="33" borderId="22" xfId="0" applyNumberFormat="1" applyFont="1" applyFill="1" applyBorder="1" applyAlignment="1">
      <alignment horizontal="right" vertical="center"/>
    </xf>
    <xf numFmtId="4" fontId="59" fillId="33" borderId="20" xfId="0" applyNumberFormat="1" applyFont="1" applyFill="1" applyBorder="1" applyAlignment="1">
      <alignment horizontal="left" vertical="center"/>
    </xf>
    <xf numFmtId="4" fontId="59" fillId="33" borderId="22" xfId="0" applyNumberFormat="1" applyFont="1" applyFill="1" applyBorder="1" applyAlignment="1">
      <alignment horizontal="left" vertical="center"/>
    </xf>
    <xf numFmtId="4" fontId="66" fillId="33" borderId="20" xfId="0" applyNumberFormat="1" applyFont="1" applyFill="1" applyBorder="1" applyAlignment="1">
      <alignment horizontal="right" vertical="center"/>
    </xf>
    <xf numFmtId="4" fontId="66" fillId="33" borderId="21" xfId="0" applyNumberFormat="1" applyFont="1" applyFill="1" applyBorder="1" applyAlignment="1">
      <alignment horizontal="right" vertical="center"/>
    </xf>
    <xf numFmtId="4" fontId="66" fillId="33" borderId="22" xfId="0" applyNumberFormat="1" applyFont="1" applyFill="1" applyBorder="1" applyAlignment="1">
      <alignment horizontal="right" vertical="center"/>
    </xf>
    <xf numFmtId="4" fontId="69" fillId="33" borderId="20" xfId="0" applyNumberFormat="1" applyFont="1" applyFill="1" applyBorder="1" applyAlignment="1">
      <alignment horizontal="right" vertical="center"/>
    </xf>
    <xf numFmtId="4" fontId="69" fillId="33" borderId="21" xfId="0" applyNumberFormat="1" applyFont="1" applyFill="1" applyBorder="1" applyAlignment="1">
      <alignment horizontal="right" vertical="center"/>
    </xf>
    <xf numFmtId="4" fontId="69" fillId="33" borderId="22" xfId="0" applyNumberFormat="1" applyFont="1" applyFill="1" applyBorder="1" applyAlignment="1">
      <alignment horizontal="right" vertical="center"/>
    </xf>
    <xf numFmtId="0" fontId="70" fillId="0" borderId="16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188" fontId="55" fillId="0" borderId="19" xfId="0" applyNumberFormat="1" applyFont="1" applyBorder="1" applyAlignment="1">
      <alignment horizontal="right" vertical="center"/>
    </xf>
    <xf numFmtId="188" fontId="55" fillId="0" borderId="23" xfId="0" applyNumberFormat="1" applyFont="1" applyBorder="1" applyAlignment="1">
      <alignment horizontal="right" vertical="center"/>
    </xf>
    <xf numFmtId="4" fontId="59" fillId="33" borderId="20" xfId="0" applyNumberFormat="1" applyFont="1" applyFill="1" applyBorder="1" applyAlignment="1">
      <alignment horizontal="right" vertical="center"/>
    </xf>
    <xf numFmtId="4" fontId="59" fillId="33" borderId="22" xfId="0" applyNumberFormat="1" applyFont="1" applyFill="1" applyBorder="1" applyAlignment="1">
      <alignment horizontal="right" vertical="center"/>
    </xf>
    <xf numFmtId="4" fontId="44" fillId="33" borderId="24" xfId="0" applyNumberFormat="1" applyFont="1" applyFill="1" applyBorder="1" applyAlignment="1">
      <alignment horizontal="center" vertical="center"/>
    </xf>
    <xf numFmtId="4" fontId="44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62" fillId="0" borderId="16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183" fontId="62" fillId="0" borderId="18" xfId="0" applyNumberFormat="1" applyFont="1" applyBorder="1" applyAlignment="1">
      <alignment vertical="center"/>
    </xf>
    <xf numFmtId="183" fontId="62" fillId="0" borderId="19" xfId="0" applyNumberFormat="1" applyFont="1" applyBorder="1" applyAlignment="1">
      <alignment vertical="center"/>
    </xf>
    <xf numFmtId="183" fontId="62" fillId="0" borderId="23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183" fontId="44" fillId="33" borderId="29" xfId="0" applyNumberFormat="1" applyFont="1" applyFill="1" applyBorder="1" applyAlignment="1">
      <alignment horizontal="center" vertical="center"/>
    </xf>
    <xf numFmtId="183" fontId="44" fillId="33" borderId="30" xfId="0" applyNumberFormat="1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183" fontId="71" fillId="0" borderId="16" xfId="0" applyNumberFormat="1" applyFont="1" applyBorder="1" applyAlignment="1">
      <alignment horizontal="center" vertical="center"/>
    </xf>
    <xf numFmtId="183" fontId="71" fillId="0" borderId="0" xfId="0" applyNumberFormat="1" applyFont="1" applyBorder="1" applyAlignment="1">
      <alignment horizontal="center" vertical="center"/>
    </xf>
    <xf numFmtId="183" fontId="71" fillId="0" borderId="17" xfId="0" applyNumberFormat="1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59" fillId="33" borderId="21" xfId="0" applyNumberFormat="1" applyFont="1" applyFill="1" applyBorder="1" applyAlignment="1">
      <alignment horizontal="right" vertical="center"/>
    </xf>
    <xf numFmtId="4" fontId="59" fillId="33" borderId="20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200025</xdr:rowOff>
    </xdr:from>
    <xdr:to>
      <xdr:col>1</xdr:col>
      <xdr:colOff>2447925</xdr:colOff>
      <xdr:row>3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543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152400</xdr:rowOff>
    </xdr:from>
    <xdr:to>
      <xdr:col>6</xdr:col>
      <xdr:colOff>1085850</xdr:colOff>
      <xdr:row>3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2400"/>
          <a:ext cx="2543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200025</xdr:rowOff>
    </xdr:from>
    <xdr:to>
      <xdr:col>1</xdr:col>
      <xdr:colOff>2447925</xdr:colOff>
      <xdr:row>3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543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152400</xdr:rowOff>
    </xdr:from>
    <xdr:to>
      <xdr:col>6</xdr:col>
      <xdr:colOff>1085850</xdr:colOff>
      <xdr:row>3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2400"/>
          <a:ext cx="2543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200025</xdr:rowOff>
    </xdr:from>
    <xdr:to>
      <xdr:col>1</xdr:col>
      <xdr:colOff>2447925</xdr:colOff>
      <xdr:row>3</xdr:row>
      <xdr:rowOff>228600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543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152400</xdr:rowOff>
    </xdr:from>
    <xdr:to>
      <xdr:col>6</xdr:col>
      <xdr:colOff>1085850</xdr:colOff>
      <xdr:row>3</xdr:row>
      <xdr:rowOff>171450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2400"/>
          <a:ext cx="2543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200025</xdr:rowOff>
    </xdr:from>
    <xdr:to>
      <xdr:col>1</xdr:col>
      <xdr:colOff>2447925</xdr:colOff>
      <xdr:row>3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543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152400</xdr:rowOff>
    </xdr:from>
    <xdr:to>
      <xdr:col>6</xdr:col>
      <xdr:colOff>1085850</xdr:colOff>
      <xdr:row>3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52400"/>
          <a:ext cx="2543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1115"/>
  <sheetViews>
    <sheetView showGridLines="0" zoomScalePageLayoutView="0" workbookViewId="0" topLeftCell="A1095">
      <selection activeCell="I474" sqref="I474"/>
    </sheetView>
  </sheetViews>
  <sheetFormatPr defaultColWidth="11.421875" defaultRowHeight="15"/>
  <cols>
    <col min="1" max="1" width="6.421875" style="40" bestFit="1" customWidth="1"/>
    <col min="2" max="2" width="62.28125" style="41" customWidth="1"/>
    <col min="3" max="3" width="9.421875" style="44" customWidth="1"/>
    <col min="4" max="4" width="12.28125" style="45" customWidth="1"/>
    <col min="5" max="5" width="13.140625" style="45" customWidth="1"/>
    <col min="6" max="6" width="15.28125" style="45" customWidth="1"/>
    <col min="7" max="7" width="18.8515625" style="43" customWidth="1"/>
    <col min="8" max="8" width="11.421875" style="30" customWidth="1"/>
    <col min="9" max="16384" width="11.421875" style="30" customWidth="1"/>
  </cols>
  <sheetData>
    <row r="1" spans="1:7" ht="21">
      <c r="A1" s="107" t="s">
        <v>301</v>
      </c>
      <c r="B1" s="108"/>
      <c r="C1" s="108"/>
      <c r="D1" s="108"/>
      <c r="E1" s="108"/>
      <c r="F1" s="108"/>
      <c r="G1" s="109"/>
    </row>
    <row r="2" spans="1:7" ht="18.75">
      <c r="A2" s="119" t="s">
        <v>56</v>
      </c>
      <c r="B2" s="120"/>
      <c r="C2" s="120"/>
      <c r="D2" s="120"/>
      <c r="E2" s="120"/>
      <c r="F2" s="120"/>
      <c r="G2" s="121"/>
    </row>
    <row r="3" spans="1:7" ht="15.75">
      <c r="A3" s="110" t="s">
        <v>57</v>
      </c>
      <c r="B3" s="111"/>
      <c r="C3" s="111"/>
      <c r="D3" s="111"/>
      <c r="E3" s="111"/>
      <c r="F3" s="111"/>
      <c r="G3" s="112"/>
    </row>
    <row r="4" spans="1:7" ht="21">
      <c r="A4" s="116" t="s">
        <v>302</v>
      </c>
      <c r="B4" s="117"/>
      <c r="C4" s="117"/>
      <c r="D4" s="117"/>
      <c r="E4" s="117"/>
      <c r="F4" s="117"/>
      <c r="G4" s="118"/>
    </row>
    <row r="5" spans="1:7" ht="15.75">
      <c r="A5" s="104" t="s">
        <v>393</v>
      </c>
      <c r="B5" s="105"/>
      <c r="C5" s="105"/>
      <c r="D5" s="105"/>
      <c r="E5" s="105"/>
      <c r="F5" s="105"/>
      <c r="G5" s="106"/>
    </row>
    <row r="6" spans="1:7" ht="15">
      <c r="A6" s="31"/>
      <c r="B6" s="32"/>
      <c r="C6" s="33"/>
      <c r="D6" s="34"/>
      <c r="E6" s="34"/>
      <c r="F6" s="34"/>
      <c r="G6" s="35"/>
    </row>
    <row r="7" spans="1:7" ht="18.75">
      <c r="A7" s="113" t="s">
        <v>436</v>
      </c>
      <c r="B7" s="114"/>
      <c r="C7" s="114"/>
      <c r="D7" s="114"/>
      <c r="E7" s="114"/>
      <c r="F7" s="114"/>
      <c r="G7" s="115"/>
    </row>
    <row r="8" spans="1:7" ht="15">
      <c r="A8" s="122" t="s">
        <v>303</v>
      </c>
      <c r="B8" s="123"/>
      <c r="C8" s="123"/>
      <c r="D8" s="123"/>
      <c r="E8" s="123"/>
      <c r="F8" s="123"/>
      <c r="G8" s="124"/>
    </row>
    <row r="9" spans="1:7" ht="15">
      <c r="A9" s="122" t="s">
        <v>17</v>
      </c>
      <c r="B9" s="123"/>
      <c r="C9" s="123"/>
      <c r="D9" s="123"/>
      <c r="E9" s="123"/>
      <c r="F9" s="123"/>
      <c r="G9" s="124"/>
    </row>
    <row r="10" spans="1:7" ht="15">
      <c r="A10" s="31"/>
      <c r="B10" s="32"/>
      <c r="C10" s="33"/>
      <c r="D10" s="34"/>
      <c r="E10" s="34"/>
      <c r="F10" s="34"/>
      <c r="G10" s="35"/>
    </row>
    <row r="11" spans="1:7" ht="23.25">
      <c r="A11" s="79" t="s">
        <v>452</v>
      </c>
      <c r="B11" s="80"/>
      <c r="C11" s="80"/>
      <c r="D11" s="80"/>
      <c r="E11" s="80"/>
      <c r="F11" s="80"/>
      <c r="G11" s="81"/>
    </row>
    <row r="12" spans="1:7" ht="15.75" thickBot="1">
      <c r="A12" s="36"/>
      <c r="B12" s="37"/>
      <c r="C12" s="38"/>
      <c r="D12" s="39"/>
      <c r="E12" s="39"/>
      <c r="F12" s="82"/>
      <c r="G12" s="83"/>
    </row>
    <row r="13" spans="3:6" ht="15.75" thickBot="1">
      <c r="C13" s="42"/>
      <c r="D13" s="43"/>
      <c r="E13" s="43"/>
      <c r="F13" s="43"/>
    </row>
    <row r="14" spans="1:7" s="42" customFormat="1" ht="15">
      <c r="A14" s="100" t="s">
        <v>1</v>
      </c>
      <c r="B14" s="102" t="s">
        <v>2</v>
      </c>
      <c r="C14" s="102" t="s">
        <v>3</v>
      </c>
      <c r="D14" s="86" t="s">
        <v>4</v>
      </c>
      <c r="E14" s="1" t="s">
        <v>5</v>
      </c>
      <c r="F14" s="1" t="s">
        <v>6</v>
      </c>
      <c r="G14" s="2" t="s">
        <v>7</v>
      </c>
    </row>
    <row r="15" spans="1:7" s="42" customFormat="1" ht="15.75" thickBot="1">
      <c r="A15" s="101"/>
      <c r="B15" s="103"/>
      <c r="C15" s="103"/>
      <c r="D15" s="87"/>
      <c r="E15" s="3" t="s">
        <v>8</v>
      </c>
      <c r="F15" s="3" t="s">
        <v>9</v>
      </c>
      <c r="G15" s="4" t="s">
        <v>9</v>
      </c>
    </row>
    <row r="16" spans="1:7" s="5" customFormat="1" ht="13.5" thickBot="1">
      <c r="A16" s="27"/>
      <c r="B16" s="6"/>
      <c r="C16" s="7"/>
      <c r="D16" s="8"/>
      <c r="E16" s="8"/>
      <c r="F16" s="9"/>
      <c r="G16" s="10"/>
    </row>
    <row r="17" spans="1:7" s="5" customFormat="1" ht="20.25" customHeight="1">
      <c r="A17" s="88" t="s">
        <v>392</v>
      </c>
      <c r="B17" s="89"/>
      <c r="C17" s="89"/>
      <c r="D17" s="89"/>
      <c r="E17" s="89"/>
      <c r="F17" s="89"/>
      <c r="G17" s="90"/>
    </row>
    <row r="18" spans="1:7" s="5" customFormat="1" ht="20.25" customHeight="1">
      <c r="A18" s="97" t="s">
        <v>391</v>
      </c>
      <c r="B18" s="98"/>
      <c r="C18" s="98"/>
      <c r="D18" s="98"/>
      <c r="E18" s="98"/>
      <c r="F18" s="98"/>
      <c r="G18" s="99"/>
    </row>
    <row r="19" spans="1:7" s="5" customFormat="1" ht="21" customHeight="1">
      <c r="A19" s="91" t="s">
        <v>389</v>
      </c>
      <c r="B19" s="92"/>
      <c r="C19" s="92"/>
      <c r="D19" s="92"/>
      <c r="E19" s="92"/>
      <c r="F19" s="92"/>
      <c r="G19" s="93"/>
    </row>
    <row r="20" spans="1:7" s="5" customFormat="1" ht="25.5" customHeight="1">
      <c r="A20" s="91" t="s">
        <v>390</v>
      </c>
      <c r="B20" s="92"/>
      <c r="C20" s="92"/>
      <c r="D20" s="92"/>
      <c r="E20" s="92"/>
      <c r="F20" s="92"/>
      <c r="G20" s="93"/>
    </row>
    <row r="21" spans="1:7" s="5" customFormat="1" ht="25.5" customHeight="1" thickBot="1">
      <c r="A21" s="94"/>
      <c r="B21" s="95"/>
      <c r="C21" s="95"/>
      <c r="D21" s="95"/>
      <c r="E21" s="95"/>
      <c r="F21" s="95"/>
      <c r="G21" s="96"/>
    </row>
    <row r="22" spans="1:7" s="5" customFormat="1" ht="13.5" thickBot="1">
      <c r="A22" s="27"/>
      <c r="B22" s="6"/>
      <c r="C22" s="7"/>
      <c r="D22" s="8"/>
      <c r="E22" s="8"/>
      <c r="F22" s="9"/>
      <c r="G22" s="10"/>
    </row>
    <row r="23" spans="1:7" s="5" customFormat="1" ht="16.5" thickBot="1">
      <c r="A23" s="28">
        <v>1</v>
      </c>
      <c r="B23" s="61" t="s">
        <v>14</v>
      </c>
      <c r="C23" s="12"/>
      <c r="D23" s="13"/>
      <c r="E23" s="13"/>
      <c r="F23" s="13"/>
      <c r="G23" s="14"/>
    </row>
    <row r="24" spans="1:7" s="5" customFormat="1" ht="12.75">
      <c r="A24" s="29">
        <f>+A23+0.01</f>
        <v>1.01</v>
      </c>
      <c r="B24" s="15" t="s">
        <v>18</v>
      </c>
      <c r="C24" s="12" t="s">
        <v>12</v>
      </c>
      <c r="D24" s="13">
        <v>1</v>
      </c>
      <c r="E24" s="13"/>
      <c r="F24" s="13"/>
      <c r="G24" s="14"/>
    </row>
    <row r="25" spans="1:7" s="5" customFormat="1" ht="25.5">
      <c r="A25" s="29">
        <f>+A24+0.01</f>
        <v>1.02</v>
      </c>
      <c r="B25" s="15" t="s">
        <v>77</v>
      </c>
      <c r="C25" s="12" t="s">
        <v>12</v>
      </c>
      <c r="D25" s="13">
        <v>1</v>
      </c>
      <c r="E25" s="13"/>
      <c r="F25" s="13"/>
      <c r="G25" s="14"/>
    </row>
    <row r="26" spans="1:7" s="5" customFormat="1" ht="12.75">
      <c r="A26" s="29">
        <f>+A25+0.01</f>
        <v>1.03</v>
      </c>
      <c r="B26" s="15" t="s">
        <v>448</v>
      </c>
      <c r="C26" s="12" t="s">
        <v>12</v>
      </c>
      <c r="D26" s="13">
        <v>1</v>
      </c>
      <c r="E26" s="13"/>
      <c r="F26" s="13"/>
      <c r="G26" s="14"/>
    </row>
    <row r="27" spans="1:7" s="5" customFormat="1" ht="12.75">
      <c r="A27" s="29">
        <f>+A26+0.01</f>
        <v>1.04</v>
      </c>
      <c r="B27" s="15" t="s">
        <v>20</v>
      </c>
      <c r="C27" s="12" t="s">
        <v>12</v>
      </c>
      <c r="D27" s="13">
        <v>1</v>
      </c>
      <c r="E27" s="13"/>
      <c r="F27" s="13"/>
      <c r="G27" s="14"/>
    </row>
    <row r="28" spans="1:7" s="5" customFormat="1" ht="13.5" thickBot="1">
      <c r="A28" s="29"/>
      <c r="B28" s="15"/>
      <c r="C28" s="12"/>
      <c r="D28" s="13"/>
      <c r="E28" s="13"/>
      <c r="F28" s="13"/>
      <c r="G28" s="14"/>
    </row>
    <row r="29" spans="1:7" s="5" customFormat="1" ht="13.5" thickBot="1">
      <c r="A29" s="29"/>
      <c r="B29" s="15"/>
      <c r="C29" s="12"/>
      <c r="D29" s="13"/>
      <c r="E29" s="84" t="str">
        <f>+B23</f>
        <v>PRELIMINARES </v>
      </c>
      <c r="F29" s="85"/>
      <c r="G29" s="16">
        <f>SUM(F22:F28)</f>
        <v>0</v>
      </c>
    </row>
    <row r="30" spans="1:7" s="5" customFormat="1" ht="13.5" thickBot="1">
      <c r="A30" s="29"/>
      <c r="B30" s="15"/>
      <c r="C30" s="12"/>
      <c r="D30" s="13"/>
      <c r="E30" s="13"/>
      <c r="F30" s="13"/>
      <c r="G30" s="14"/>
    </row>
    <row r="31" spans="1:7" s="5" customFormat="1" ht="16.5" thickBot="1">
      <c r="A31" s="28">
        <v>2</v>
      </c>
      <c r="B31" s="61" t="s">
        <v>21</v>
      </c>
      <c r="C31" s="12"/>
      <c r="D31" s="13"/>
      <c r="E31" s="13"/>
      <c r="F31" s="13"/>
      <c r="G31" s="14"/>
    </row>
    <row r="32" spans="1:7" s="5" customFormat="1" ht="12.75">
      <c r="A32" s="29">
        <f aca="true" t="shared" si="0" ref="A32:A38">+A31+0.01</f>
        <v>2.01</v>
      </c>
      <c r="B32" s="15" t="s">
        <v>94</v>
      </c>
      <c r="C32" s="12" t="s">
        <v>15</v>
      </c>
      <c r="D32" s="13">
        <f>125*7</f>
        <v>875</v>
      </c>
      <c r="E32" s="13"/>
      <c r="F32" s="13"/>
      <c r="G32" s="14"/>
    </row>
    <row r="33" spans="1:7" s="5" customFormat="1" ht="12.75">
      <c r="A33" s="29">
        <f t="shared" si="0"/>
        <v>2.0199999999999996</v>
      </c>
      <c r="B33" s="15" t="s">
        <v>95</v>
      </c>
      <c r="C33" s="12" t="s">
        <v>15</v>
      </c>
      <c r="D33" s="13">
        <f>11200*0.6+(1500*0.8)</f>
        <v>7920</v>
      </c>
      <c r="E33" s="13"/>
      <c r="F33" s="13"/>
      <c r="G33" s="14"/>
    </row>
    <row r="34" spans="1:7" s="5" customFormat="1" ht="12.75">
      <c r="A34" s="29">
        <f t="shared" si="0"/>
        <v>2.0299999999999994</v>
      </c>
      <c r="B34" s="15" t="s">
        <v>96</v>
      </c>
      <c r="C34" s="12" t="s">
        <v>50</v>
      </c>
      <c r="D34" s="13">
        <f>+D33*1.2</f>
        <v>9504</v>
      </c>
      <c r="E34" s="13"/>
      <c r="F34" s="13"/>
      <c r="G34" s="14"/>
    </row>
    <row r="35" spans="1:7" s="5" customFormat="1" ht="12.75">
      <c r="A35" s="29">
        <f t="shared" si="0"/>
        <v>2.039999999999999</v>
      </c>
      <c r="B35" s="15" t="s">
        <v>437</v>
      </c>
      <c r="C35" s="12" t="s">
        <v>93</v>
      </c>
      <c r="D35" s="13">
        <f>+D33*10</f>
        <v>79200</v>
      </c>
      <c r="E35" s="13"/>
      <c r="F35" s="13"/>
      <c r="G35" s="14"/>
    </row>
    <row r="36" spans="1:7" s="5" customFormat="1" ht="12.75">
      <c r="A36" s="29">
        <f t="shared" si="0"/>
        <v>2.049999999999999</v>
      </c>
      <c r="B36" s="15" t="s">
        <v>25</v>
      </c>
      <c r="C36" s="12" t="s">
        <v>438</v>
      </c>
      <c r="D36" s="13">
        <f>+D33*1.2</f>
        <v>9504</v>
      </c>
      <c r="E36" s="13"/>
      <c r="F36" s="13"/>
      <c r="G36" s="14"/>
    </row>
    <row r="37" spans="1:7" s="5" customFormat="1" ht="12.75">
      <c r="A37" s="29">
        <f t="shared" si="0"/>
        <v>2.0599999999999987</v>
      </c>
      <c r="B37" s="15" t="s">
        <v>26</v>
      </c>
      <c r="C37" s="12" t="s">
        <v>16</v>
      </c>
      <c r="D37" s="13">
        <v>3068</v>
      </c>
      <c r="E37" s="13"/>
      <c r="F37" s="13"/>
      <c r="G37" s="14"/>
    </row>
    <row r="38" spans="1:7" s="5" customFormat="1" ht="12.75">
      <c r="A38" s="29">
        <f t="shared" si="0"/>
        <v>2.0699999999999985</v>
      </c>
      <c r="B38" s="15" t="s">
        <v>687</v>
      </c>
      <c r="C38" s="12" t="s">
        <v>50</v>
      </c>
      <c r="D38" s="13">
        <f>+(D32+D33-D37)*1.35</f>
        <v>7731.450000000001</v>
      </c>
      <c r="E38" s="13"/>
      <c r="F38" s="13"/>
      <c r="G38" s="14"/>
    </row>
    <row r="39" spans="1:7" s="5" customFormat="1" ht="13.5" thickBot="1">
      <c r="A39" s="29"/>
      <c r="B39" s="15"/>
      <c r="C39" s="12"/>
      <c r="D39" s="13"/>
      <c r="E39" s="13"/>
      <c r="F39" s="13"/>
      <c r="G39" s="14"/>
    </row>
    <row r="40" spans="1:7" s="5" customFormat="1" ht="13.5" thickBot="1">
      <c r="A40" s="29"/>
      <c r="B40" s="15"/>
      <c r="C40" s="12"/>
      <c r="D40" s="13"/>
      <c r="E40" s="84" t="str">
        <f>+B31</f>
        <v>ACONDICIONAMIENTO DE TERRENO</v>
      </c>
      <c r="F40" s="85"/>
      <c r="G40" s="16">
        <f>SUM(F31:F38)</f>
        <v>0</v>
      </c>
    </row>
    <row r="41" spans="1:7" s="5" customFormat="1" ht="13.5" thickBot="1">
      <c r="A41" s="29"/>
      <c r="B41" s="15"/>
      <c r="C41" s="12"/>
      <c r="D41" s="13"/>
      <c r="E41" s="13"/>
      <c r="F41" s="13"/>
      <c r="G41" s="14"/>
    </row>
    <row r="42" spans="1:7" s="5" customFormat="1" ht="16.5" thickBot="1">
      <c r="A42" s="28">
        <v>2</v>
      </c>
      <c r="B42" s="61" t="s">
        <v>626</v>
      </c>
      <c r="C42" s="12"/>
      <c r="D42" s="13"/>
      <c r="E42" s="13"/>
      <c r="F42" s="13"/>
      <c r="G42" s="14"/>
    </row>
    <row r="43" spans="1:7" s="5" customFormat="1" ht="25.5">
      <c r="A43" s="29">
        <f>+A42+0.01</f>
        <v>2.01</v>
      </c>
      <c r="B43" s="15" t="s">
        <v>387</v>
      </c>
      <c r="C43" s="12" t="s">
        <v>13</v>
      </c>
      <c r="D43" s="13">
        <v>1</v>
      </c>
      <c r="E43" s="13"/>
      <c r="F43" s="13"/>
      <c r="G43" s="14"/>
    </row>
    <row r="44" spans="1:7" s="5" customFormat="1" ht="12.75">
      <c r="A44" s="29">
        <f aca="true" t="shared" si="1" ref="A44:A69">+A43+0.01</f>
        <v>2.0199999999999996</v>
      </c>
      <c r="B44" s="17" t="s">
        <v>32</v>
      </c>
      <c r="C44" s="12" t="s">
        <v>13</v>
      </c>
      <c r="D44" s="13">
        <v>1</v>
      </c>
      <c r="E44" s="13"/>
      <c r="F44" s="13"/>
      <c r="G44" s="14"/>
    </row>
    <row r="45" spans="1:7" s="5" customFormat="1" ht="12.75">
      <c r="A45" s="29">
        <f t="shared" si="1"/>
        <v>2.0299999999999994</v>
      </c>
      <c r="B45" s="15" t="s">
        <v>23</v>
      </c>
      <c r="C45" s="12" t="s">
        <v>13</v>
      </c>
      <c r="D45" s="13">
        <v>1</v>
      </c>
      <c r="E45" s="13"/>
      <c r="F45" s="13"/>
      <c r="G45" s="14"/>
    </row>
    <row r="46" spans="1:7" s="5" customFormat="1" ht="12.75">
      <c r="A46" s="29">
        <f>+A45+0.01</f>
        <v>2.039999999999999</v>
      </c>
      <c r="B46" s="15" t="s">
        <v>33</v>
      </c>
      <c r="C46" s="12" t="s">
        <v>13</v>
      </c>
      <c r="D46" s="13">
        <v>10</v>
      </c>
      <c r="E46" s="13"/>
      <c r="F46" s="13"/>
      <c r="G46" s="14"/>
    </row>
    <row r="47" spans="1:7" s="5" customFormat="1" ht="12.75">
      <c r="A47" s="29"/>
      <c r="B47" s="67" t="s">
        <v>627</v>
      </c>
      <c r="C47" s="12"/>
      <c r="D47" s="13"/>
      <c r="E47" s="13"/>
      <c r="F47" s="13"/>
      <c r="G47" s="14"/>
    </row>
    <row r="48" spans="1:7" s="5" customFormat="1" ht="12.75">
      <c r="A48" s="29">
        <f>+A46+0.01</f>
        <v>2.049999999999999</v>
      </c>
      <c r="B48" s="15" t="s">
        <v>441</v>
      </c>
      <c r="C48" s="12" t="s">
        <v>13</v>
      </c>
      <c r="D48" s="13">
        <v>35</v>
      </c>
      <c r="E48" s="13"/>
      <c r="F48" s="13"/>
      <c r="G48" s="14"/>
    </row>
    <row r="49" spans="1:7" s="5" customFormat="1" ht="12.75">
      <c r="A49" s="29">
        <f t="shared" si="1"/>
        <v>2.0599999999999987</v>
      </c>
      <c r="B49" s="15" t="s">
        <v>426</v>
      </c>
      <c r="C49" s="12" t="s">
        <v>10</v>
      </c>
      <c r="D49" s="13">
        <v>2865.2</v>
      </c>
      <c r="E49" s="13"/>
      <c r="F49" s="13"/>
      <c r="G49" s="14"/>
    </row>
    <row r="50" spans="1:7" s="5" customFormat="1" ht="12.75">
      <c r="A50" s="29">
        <f t="shared" si="1"/>
        <v>2.0699999999999985</v>
      </c>
      <c r="B50" s="15" t="s">
        <v>35</v>
      </c>
      <c r="C50" s="12" t="s">
        <v>13</v>
      </c>
      <c r="D50" s="13">
        <v>18</v>
      </c>
      <c r="E50" s="13"/>
      <c r="F50" s="13"/>
      <c r="G50" s="14"/>
    </row>
    <row r="51" spans="1:7" s="5" customFormat="1" ht="12.75">
      <c r="A51" s="29">
        <f t="shared" si="1"/>
        <v>2.0799999999999983</v>
      </c>
      <c r="B51" s="15" t="s">
        <v>36</v>
      </c>
      <c r="C51" s="12" t="s">
        <v>13</v>
      </c>
      <c r="D51" s="13">
        <v>250</v>
      </c>
      <c r="E51" s="13"/>
      <c r="F51" s="13"/>
      <c r="G51" s="14"/>
    </row>
    <row r="52" spans="1:7" s="5" customFormat="1" ht="12.75">
      <c r="A52" s="29">
        <f t="shared" si="1"/>
        <v>2.089999999999998</v>
      </c>
      <c r="B52" s="15" t="s">
        <v>37</v>
      </c>
      <c r="C52" s="12" t="s">
        <v>13</v>
      </c>
      <c r="D52" s="13">
        <v>800</v>
      </c>
      <c r="E52" s="13"/>
      <c r="F52" s="13"/>
      <c r="G52" s="14"/>
    </row>
    <row r="53" spans="1:7" s="5" customFormat="1" ht="12.75">
      <c r="A53" s="29">
        <f t="shared" si="1"/>
        <v>2.099999999999998</v>
      </c>
      <c r="B53" s="15" t="s">
        <v>38</v>
      </c>
      <c r="C53" s="12" t="s">
        <v>19</v>
      </c>
      <c r="D53" s="13">
        <v>2</v>
      </c>
      <c r="E53" s="13"/>
      <c r="F53" s="13"/>
      <c r="G53" s="14"/>
    </row>
    <row r="54" spans="1:7" s="5" customFormat="1" ht="12.75">
      <c r="A54" s="29"/>
      <c r="B54" s="67" t="s">
        <v>628</v>
      </c>
      <c r="C54" s="12"/>
      <c r="D54" s="13"/>
      <c r="E54" s="13"/>
      <c r="F54" s="13"/>
      <c r="G54" s="14"/>
    </row>
    <row r="55" spans="1:7" s="5" customFormat="1" ht="12.75">
      <c r="A55" s="29">
        <f>+A53+0.01</f>
        <v>2.1099999999999977</v>
      </c>
      <c r="B55" s="15" t="s">
        <v>28</v>
      </c>
      <c r="C55" s="12" t="s">
        <v>13</v>
      </c>
      <c r="D55" s="13">
        <v>18</v>
      </c>
      <c r="E55" s="13"/>
      <c r="F55" s="13"/>
      <c r="G55" s="14"/>
    </row>
    <row r="56" spans="1:7" s="5" customFormat="1" ht="12.75">
      <c r="A56" s="29">
        <f t="shared" si="1"/>
        <v>2.1199999999999974</v>
      </c>
      <c r="B56" s="15" t="s">
        <v>29</v>
      </c>
      <c r="C56" s="12" t="s">
        <v>13</v>
      </c>
      <c r="D56" s="13">
        <f>+D55*2</f>
        <v>36</v>
      </c>
      <c r="E56" s="13"/>
      <c r="F56" s="13"/>
      <c r="G56" s="14"/>
    </row>
    <row r="57" spans="1:7" s="5" customFormat="1" ht="25.5">
      <c r="A57" s="29">
        <f t="shared" si="1"/>
        <v>2.1299999999999972</v>
      </c>
      <c r="B57" s="15" t="s">
        <v>30</v>
      </c>
      <c r="C57" s="12" t="s">
        <v>11</v>
      </c>
      <c r="D57" s="13">
        <f>125*2</f>
        <v>250</v>
      </c>
      <c r="E57" s="13"/>
      <c r="F57" s="13"/>
      <c r="G57" s="14"/>
    </row>
    <row r="58" spans="1:7" s="5" customFormat="1" ht="12.75">
      <c r="A58" s="29">
        <f t="shared" si="1"/>
        <v>2.139999999999997</v>
      </c>
      <c r="B58" s="15" t="s">
        <v>31</v>
      </c>
      <c r="C58" s="12" t="s">
        <v>16</v>
      </c>
      <c r="D58" s="13">
        <f>125*2*0.4</f>
        <v>100</v>
      </c>
      <c r="E58" s="13"/>
      <c r="F58" s="13"/>
      <c r="G58" s="14"/>
    </row>
    <row r="59" spans="1:7" s="5" customFormat="1" ht="12.75">
      <c r="A59" s="29">
        <f t="shared" si="1"/>
        <v>2.149999999999997</v>
      </c>
      <c r="B59" s="15" t="s">
        <v>442</v>
      </c>
      <c r="C59" s="12" t="s">
        <v>10</v>
      </c>
      <c r="D59" s="13">
        <f>124*1.8</f>
        <v>223.20000000000002</v>
      </c>
      <c r="E59" s="13"/>
      <c r="F59" s="13"/>
      <c r="G59" s="14"/>
    </row>
    <row r="60" spans="1:7" s="5" customFormat="1" ht="12.75">
      <c r="A60" s="29">
        <f t="shared" si="1"/>
        <v>2.1599999999999966</v>
      </c>
      <c r="B60" s="15" t="s">
        <v>34</v>
      </c>
      <c r="C60" s="12" t="s">
        <v>50</v>
      </c>
      <c r="D60" s="13">
        <v>12</v>
      </c>
      <c r="E60" s="13"/>
      <c r="F60" s="13"/>
      <c r="G60" s="14"/>
    </row>
    <row r="61" spans="1:7" s="5" customFormat="1" ht="12.75">
      <c r="A61" s="29">
        <f t="shared" si="1"/>
        <v>2.1699999999999964</v>
      </c>
      <c r="B61" s="15" t="s">
        <v>39</v>
      </c>
      <c r="C61" s="12" t="s">
        <v>10</v>
      </c>
      <c r="D61" s="13">
        <v>725</v>
      </c>
      <c r="E61" s="13"/>
      <c r="F61" s="13"/>
      <c r="G61" s="14"/>
    </row>
    <row r="62" spans="1:7" s="5" customFormat="1" ht="12.75">
      <c r="A62" s="29">
        <f t="shared" si="1"/>
        <v>2.179999999999996</v>
      </c>
      <c r="B62" s="15" t="s">
        <v>84</v>
      </c>
      <c r="C62" s="12" t="s">
        <v>13</v>
      </c>
      <c r="D62" s="13">
        <v>12</v>
      </c>
      <c r="E62" s="13"/>
      <c r="F62" s="13"/>
      <c r="G62" s="14"/>
    </row>
    <row r="63" spans="1:7" s="5" customFormat="1" ht="12.75">
      <c r="A63" s="29">
        <f t="shared" si="1"/>
        <v>2.189999999999996</v>
      </c>
      <c r="B63" s="15" t="s">
        <v>85</v>
      </c>
      <c r="C63" s="12" t="s">
        <v>11</v>
      </c>
      <c r="D63" s="13">
        <v>36</v>
      </c>
      <c r="E63" s="13"/>
      <c r="F63" s="13"/>
      <c r="G63" s="14"/>
    </row>
    <row r="64" spans="1:7" s="5" customFormat="1" ht="12.75">
      <c r="A64" s="29">
        <f t="shared" si="1"/>
        <v>2.1999999999999957</v>
      </c>
      <c r="B64" s="15" t="s">
        <v>615</v>
      </c>
      <c r="C64" s="12" t="s">
        <v>11</v>
      </c>
      <c r="D64" s="13">
        <v>86</v>
      </c>
      <c r="E64" s="13"/>
      <c r="F64" s="13"/>
      <c r="G64" s="14"/>
    </row>
    <row r="65" spans="1:7" s="5" customFormat="1" ht="12.75">
      <c r="A65" s="29">
        <f t="shared" si="1"/>
        <v>2.2099999999999955</v>
      </c>
      <c r="B65" s="15" t="s">
        <v>101</v>
      </c>
      <c r="C65" s="12" t="s">
        <v>13</v>
      </c>
      <c r="D65" s="13">
        <v>5</v>
      </c>
      <c r="E65" s="13"/>
      <c r="F65" s="13"/>
      <c r="G65" s="14"/>
    </row>
    <row r="66" spans="1:7" s="5" customFormat="1" ht="25.5">
      <c r="A66" s="29">
        <f t="shared" si="1"/>
        <v>2.2199999999999953</v>
      </c>
      <c r="B66" s="15" t="s">
        <v>678</v>
      </c>
      <c r="C66" s="12" t="s">
        <v>677</v>
      </c>
      <c r="D66" s="13">
        <v>344.96</v>
      </c>
      <c r="E66" s="13"/>
      <c r="F66" s="13"/>
      <c r="G66" s="14"/>
    </row>
    <row r="67" spans="1:7" s="5" customFormat="1" ht="25.5">
      <c r="A67" s="29">
        <f t="shared" si="1"/>
        <v>2.229999999999995</v>
      </c>
      <c r="B67" s="15" t="s">
        <v>679</v>
      </c>
      <c r="C67" s="12" t="s">
        <v>677</v>
      </c>
      <c r="D67" s="13">
        <v>119.16</v>
      </c>
      <c r="E67" s="13"/>
      <c r="F67" s="13"/>
      <c r="G67" s="14"/>
    </row>
    <row r="68" spans="1:7" s="5" customFormat="1" ht="12.75">
      <c r="A68" s="29">
        <f t="shared" si="1"/>
        <v>2.239999999999995</v>
      </c>
      <c r="B68" s="15" t="s">
        <v>680</v>
      </c>
      <c r="C68" s="12" t="s">
        <v>11</v>
      </c>
      <c r="D68" s="13">
        <v>269.5</v>
      </c>
      <c r="E68" s="13"/>
      <c r="F68" s="13"/>
      <c r="G68" s="14"/>
    </row>
    <row r="69" spans="1:7" s="5" customFormat="1" ht="12.75">
      <c r="A69" s="29">
        <f t="shared" si="1"/>
        <v>2.2499999999999947</v>
      </c>
      <c r="B69" s="15" t="s">
        <v>681</v>
      </c>
      <c r="C69" s="12" t="s">
        <v>11</v>
      </c>
      <c r="D69" s="13">
        <v>398.5</v>
      </c>
      <c r="E69" s="13"/>
      <c r="F69" s="13"/>
      <c r="G69" s="14"/>
    </row>
    <row r="70" spans="1:7" s="5" customFormat="1" ht="12.75">
      <c r="A70" s="29"/>
      <c r="B70" s="15"/>
      <c r="C70" s="12"/>
      <c r="D70" s="13"/>
      <c r="E70" s="13"/>
      <c r="F70" s="13"/>
      <c r="G70" s="14"/>
    </row>
    <row r="71" spans="1:7" s="5" customFormat="1" ht="13.5" thickBot="1">
      <c r="A71" s="29"/>
      <c r="B71" s="15"/>
      <c r="C71" s="12"/>
      <c r="D71" s="13"/>
      <c r="E71" s="13"/>
      <c r="F71" s="13"/>
      <c r="G71" s="14"/>
    </row>
    <row r="72" spans="1:7" s="5" customFormat="1" ht="13.5" thickBot="1">
      <c r="A72" s="29"/>
      <c r="B72" s="15"/>
      <c r="C72" s="12"/>
      <c r="D72" s="13"/>
      <c r="E72" s="84" t="str">
        <f>+B42</f>
        <v>AREAS EXTERIORES A MODULOS</v>
      </c>
      <c r="F72" s="85"/>
      <c r="G72" s="16">
        <f>SUM(F43:F71)</f>
        <v>0</v>
      </c>
    </row>
    <row r="73" spans="1:7" s="5" customFormat="1" ht="12.75">
      <c r="A73" s="29"/>
      <c r="B73" s="15"/>
      <c r="C73" s="12"/>
      <c r="D73" s="13"/>
      <c r="E73" s="13"/>
      <c r="F73" s="13"/>
      <c r="G73" s="14"/>
    </row>
    <row r="74" spans="1:7" s="5" customFormat="1" ht="13.5" thickBot="1">
      <c r="A74" s="29"/>
      <c r="B74" s="15"/>
      <c r="C74" s="12"/>
      <c r="D74" s="13"/>
      <c r="E74" s="13"/>
      <c r="F74" s="13"/>
      <c r="G74" s="14"/>
    </row>
    <row r="75" spans="1:7" s="5" customFormat="1" ht="16.5" thickBot="1">
      <c r="A75" s="28">
        <v>3</v>
      </c>
      <c r="B75" s="61" t="s">
        <v>80</v>
      </c>
      <c r="C75" s="12"/>
      <c r="D75" s="13"/>
      <c r="E75" s="13"/>
      <c r="F75" s="13"/>
      <c r="G75" s="14"/>
    </row>
    <row r="76" spans="1:7" s="5" customFormat="1" ht="12.75">
      <c r="A76" s="29">
        <f>+A75+0.01</f>
        <v>3.01</v>
      </c>
      <c r="B76" s="15" t="s">
        <v>81</v>
      </c>
      <c r="C76" s="12" t="s">
        <v>10</v>
      </c>
      <c r="D76" s="13">
        <f>19*25</f>
        <v>475</v>
      </c>
      <c r="E76" s="13"/>
      <c r="F76" s="13"/>
      <c r="G76" s="14"/>
    </row>
    <row r="77" spans="1:7" s="5" customFormat="1" ht="12.75">
      <c r="A77" s="29">
        <f aca="true" t="shared" si="2" ref="A77:A85">+A76+0.01</f>
        <v>3.0199999999999996</v>
      </c>
      <c r="B77" s="17" t="s">
        <v>82</v>
      </c>
      <c r="C77" s="12" t="s">
        <v>11</v>
      </c>
      <c r="D77" s="13">
        <v>90</v>
      </c>
      <c r="E77" s="13"/>
      <c r="F77" s="13"/>
      <c r="G77" s="14"/>
    </row>
    <row r="78" spans="1:7" s="5" customFormat="1" ht="25.5">
      <c r="A78" s="29">
        <f t="shared" si="2"/>
        <v>3.0299999999999994</v>
      </c>
      <c r="B78" s="15" t="s">
        <v>83</v>
      </c>
      <c r="C78" s="12" t="s">
        <v>0</v>
      </c>
      <c r="D78" s="13">
        <f>19*25*0.1</f>
        <v>47.5</v>
      </c>
      <c r="E78" s="13"/>
      <c r="F78" s="13"/>
      <c r="G78" s="14"/>
    </row>
    <row r="79" spans="1:7" s="5" customFormat="1" ht="12.75">
      <c r="A79" s="29">
        <f t="shared" si="2"/>
        <v>3.039999999999999</v>
      </c>
      <c r="B79" s="15" t="s">
        <v>86</v>
      </c>
      <c r="C79" s="12" t="s">
        <v>13</v>
      </c>
      <c r="D79" s="13">
        <v>1</v>
      </c>
      <c r="E79" s="13"/>
      <c r="F79" s="13"/>
      <c r="G79" s="14"/>
    </row>
    <row r="80" spans="1:7" s="5" customFormat="1" ht="12.75">
      <c r="A80" s="29">
        <f t="shared" si="2"/>
        <v>3.049999999999999</v>
      </c>
      <c r="B80" s="15" t="s">
        <v>87</v>
      </c>
      <c r="C80" s="12" t="s">
        <v>13</v>
      </c>
      <c r="D80" s="13">
        <v>1</v>
      </c>
      <c r="E80" s="13"/>
      <c r="F80" s="13"/>
      <c r="G80" s="14"/>
    </row>
    <row r="81" spans="1:7" s="5" customFormat="1" ht="12.75">
      <c r="A81" s="29">
        <f t="shared" si="2"/>
        <v>3.0599999999999987</v>
      </c>
      <c r="B81" s="15" t="s">
        <v>88</v>
      </c>
      <c r="C81" s="12" t="s">
        <v>13</v>
      </c>
      <c r="D81" s="13">
        <v>1</v>
      </c>
      <c r="E81" s="13"/>
      <c r="F81" s="13"/>
      <c r="G81" s="14"/>
    </row>
    <row r="82" spans="1:7" s="5" customFormat="1" ht="12.75">
      <c r="A82" s="29">
        <f t="shared" si="2"/>
        <v>3.0699999999999985</v>
      </c>
      <c r="B82" s="15" t="s">
        <v>89</v>
      </c>
      <c r="C82" s="12" t="s">
        <v>13</v>
      </c>
      <c r="D82" s="13">
        <v>1</v>
      </c>
      <c r="E82" s="13"/>
      <c r="F82" s="13"/>
      <c r="G82" s="14"/>
    </row>
    <row r="83" spans="1:7" s="5" customFormat="1" ht="12.75">
      <c r="A83" s="29">
        <f t="shared" si="2"/>
        <v>3.0799999999999983</v>
      </c>
      <c r="B83" s="15" t="s">
        <v>90</v>
      </c>
      <c r="C83" s="12" t="s">
        <v>27</v>
      </c>
      <c r="D83" s="13">
        <v>12</v>
      </c>
      <c r="E83" s="13"/>
      <c r="F83" s="13"/>
      <c r="G83" s="14"/>
    </row>
    <row r="84" spans="1:7" s="5" customFormat="1" ht="12.75">
      <c r="A84" s="29">
        <f t="shared" si="2"/>
        <v>3.089999999999998</v>
      </c>
      <c r="B84" s="15" t="s">
        <v>91</v>
      </c>
      <c r="C84" s="12" t="s">
        <v>27</v>
      </c>
      <c r="D84" s="13">
        <v>28</v>
      </c>
      <c r="E84" s="13"/>
      <c r="F84" s="13"/>
      <c r="G84" s="14"/>
    </row>
    <row r="85" spans="1:7" s="5" customFormat="1" ht="12.75">
      <c r="A85" s="29">
        <f t="shared" si="2"/>
        <v>3.099999999999998</v>
      </c>
      <c r="B85" s="15" t="s">
        <v>92</v>
      </c>
      <c r="C85" s="12" t="s">
        <v>27</v>
      </c>
      <c r="D85" s="13">
        <v>48</v>
      </c>
      <c r="E85" s="13"/>
      <c r="F85" s="13"/>
      <c r="G85" s="14"/>
    </row>
    <row r="86" spans="1:7" s="5" customFormat="1" ht="13.5" thickBot="1">
      <c r="A86" s="29"/>
      <c r="B86" s="15"/>
      <c r="C86" s="12"/>
      <c r="D86" s="13"/>
      <c r="E86" s="13"/>
      <c r="F86" s="13"/>
      <c r="G86" s="14"/>
    </row>
    <row r="87" spans="1:7" s="5" customFormat="1" ht="13.5" thickBot="1">
      <c r="A87" s="29"/>
      <c r="B87" s="15"/>
      <c r="C87" s="12"/>
      <c r="D87" s="13"/>
      <c r="E87" s="84" t="str">
        <f>+B75</f>
        <v>AREA CIVICA (19.00X25.00)</v>
      </c>
      <c r="F87" s="85"/>
      <c r="G87" s="16">
        <f>SUM(F75:F86)</f>
        <v>0</v>
      </c>
    </row>
    <row r="88" spans="1:7" s="5" customFormat="1" ht="12.75">
      <c r="A88" s="29"/>
      <c r="B88" s="15"/>
      <c r="C88" s="12"/>
      <c r="D88" s="13"/>
      <c r="E88" s="13"/>
      <c r="F88" s="13"/>
      <c r="G88" s="14"/>
    </row>
    <row r="89" spans="1:7" s="5" customFormat="1" ht="13.5" thickBot="1">
      <c r="A89" s="29"/>
      <c r="B89" s="15"/>
      <c r="C89" s="12"/>
      <c r="D89" s="13"/>
      <c r="E89" s="13"/>
      <c r="F89" s="13"/>
      <c r="G89" s="14"/>
    </row>
    <row r="90" spans="1:7" s="5" customFormat="1" ht="32.25" thickBot="1">
      <c r="A90" s="28">
        <v>4</v>
      </c>
      <c r="B90" s="61" t="s">
        <v>439</v>
      </c>
      <c r="C90" s="12"/>
      <c r="D90" s="13"/>
      <c r="E90" s="13"/>
      <c r="F90" s="13"/>
      <c r="G90" s="14"/>
    </row>
    <row r="91" spans="1:7" s="5" customFormat="1" ht="12.75">
      <c r="A91" s="29">
        <f>+A90+0.01</f>
        <v>4.01</v>
      </c>
      <c r="B91" s="15" t="s">
        <v>98</v>
      </c>
      <c r="C91" s="12" t="s">
        <v>15</v>
      </c>
      <c r="D91" s="13">
        <f>476.34*0.6*0.45</f>
        <v>128.6118</v>
      </c>
      <c r="E91" s="13"/>
      <c r="F91" s="13"/>
      <c r="G91" s="14"/>
    </row>
    <row r="92" spans="1:7" s="5" customFormat="1" ht="12.75">
      <c r="A92" s="29">
        <f aca="true" t="shared" si="3" ref="A92:A107">+A91+0.01</f>
        <v>4.02</v>
      </c>
      <c r="B92" s="17" t="s">
        <v>54</v>
      </c>
      <c r="C92" s="12" t="s">
        <v>16</v>
      </c>
      <c r="D92" s="13">
        <f>476.34*0.3*0.6*0.8</f>
        <v>68.59295999999999</v>
      </c>
      <c r="E92" s="13"/>
      <c r="F92" s="13"/>
      <c r="G92" s="14"/>
    </row>
    <row r="93" spans="1:7" s="5" customFormat="1" ht="12.75">
      <c r="A93" s="29">
        <f t="shared" si="3"/>
        <v>4.029999999999999</v>
      </c>
      <c r="B93" s="15" t="s">
        <v>40</v>
      </c>
      <c r="C93" s="12" t="s">
        <v>24</v>
      </c>
      <c r="D93" s="13">
        <f>+D91*1.25</f>
        <v>160.76475</v>
      </c>
      <c r="E93" s="13"/>
      <c r="F93" s="13"/>
      <c r="G93" s="14"/>
    </row>
    <row r="94" spans="1:7" s="5" customFormat="1" ht="12.75">
      <c r="A94" s="29">
        <f t="shared" si="3"/>
        <v>4.039999999999999</v>
      </c>
      <c r="B94" s="15" t="s">
        <v>41</v>
      </c>
      <c r="C94" s="12" t="s">
        <v>0</v>
      </c>
      <c r="D94" s="13">
        <f>476.34*0.45*0.2</f>
        <v>42.870599999999996</v>
      </c>
      <c r="E94" s="13"/>
      <c r="F94" s="13"/>
      <c r="G94" s="14"/>
    </row>
    <row r="95" spans="1:7" s="5" customFormat="1" ht="12.75">
      <c r="A95" s="29">
        <f t="shared" si="3"/>
        <v>4.049999999999999</v>
      </c>
      <c r="B95" s="15" t="s">
        <v>42</v>
      </c>
      <c r="C95" s="12" t="s">
        <v>0</v>
      </c>
      <c r="D95" s="13">
        <f>138*0.8*0.8*0.2</f>
        <v>17.664</v>
      </c>
      <c r="E95" s="13"/>
      <c r="F95" s="13"/>
      <c r="G95" s="14"/>
    </row>
    <row r="96" spans="1:7" s="5" customFormat="1" ht="12.75">
      <c r="A96" s="29">
        <f t="shared" si="3"/>
        <v>4.059999999999999</v>
      </c>
      <c r="B96" s="15" t="s">
        <v>43</v>
      </c>
      <c r="C96" s="12" t="s">
        <v>10</v>
      </c>
      <c r="D96" s="13">
        <f>476.34*0.6</f>
        <v>285.804</v>
      </c>
      <c r="E96" s="13"/>
      <c r="F96" s="13"/>
      <c r="G96" s="14"/>
    </row>
    <row r="97" spans="1:7" s="5" customFormat="1" ht="12.75">
      <c r="A97" s="29">
        <f t="shared" si="3"/>
        <v>4.0699999999999985</v>
      </c>
      <c r="B97" s="15" t="s">
        <v>44</v>
      </c>
      <c r="C97" s="12" t="s">
        <v>10</v>
      </c>
      <c r="D97" s="13">
        <f>476.34*3</f>
        <v>1429.02</v>
      </c>
      <c r="E97" s="13"/>
      <c r="F97" s="13"/>
      <c r="G97" s="14"/>
    </row>
    <row r="98" spans="1:7" s="5" customFormat="1" ht="12.75">
      <c r="A98" s="29">
        <f t="shared" si="3"/>
        <v>4.079999999999998</v>
      </c>
      <c r="B98" s="15" t="s">
        <v>45</v>
      </c>
      <c r="C98" s="12" t="s">
        <v>0</v>
      </c>
      <c r="D98" s="13">
        <f>140*0.2*0.2*3.8</f>
        <v>21.28</v>
      </c>
      <c r="E98" s="13"/>
      <c r="F98" s="13"/>
      <c r="G98" s="14"/>
    </row>
    <row r="99" spans="1:7" s="5" customFormat="1" ht="12.75">
      <c r="A99" s="29">
        <f t="shared" si="3"/>
        <v>4.089999999999998</v>
      </c>
      <c r="B99" s="15" t="s">
        <v>46</v>
      </c>
      <c r="C99" s="12" t="s">
        <v>0</v>
      </c>
      <c r="D99" s="13">
        <f>476.34*0.2*0.2</f>
        <v>19.0536</v>
      </c>
      <c r="E99" s="13"/>
      <c r="F99" s="13"/>
      <c r="G99" s="14"/>
    </row>
    <row r="100" spans="1:7" s="5" customFormat="1" ht="12.75">
      <c r="A100" s="29">
        <f t="shared" si="3"/>
        <v>4.099999999999998</v>
      </c>
      <c r="B100" s="15" t="s">
        <v>47</v>
      </c>
      <c r="C100" s="12" t="s">
        <v>10</v>
      </c>
      <c r="D100" s="13">
        <f>0.6*476.34+(180*0.6*3.2)</f>
        <v>631.404</v>
      </c>
      <c r="E100" s="13"/>
      <c r="F100" s="13"/>
      <c r="G100" s="14"/>
    </row>
    <row r="101" spans="1:7" s="5" customFormat="1" ht="12.75">
      <c r="A101" s="29">
        <f t="shared" si="3"/>
        <v>4.109999999999998</v>
      </c>
      <c r="B101" s="15" t="s">
        <v>48</v>
      </c>
      <c r="C101" s="12" t="s">
        <v>10</v>
      </c>
      <c r="D101" s="13">
        <f>+D100</f>
        <v>631.404</v>
      </c>
      <c r="E101" s="13"/>
      <c r="F101" s="13"/>
      <c r="G101" s="14"/>
    </row>
    <row r="102" spans="1:7" s="5" customFormat="1" ht="12.75">
      <c r="A102" s="29">
        <f t="shared" si="3"/>
        <v>4.119999999999997</v>
      </c>
      <c r="B102" s="15" t="s">
        <v>49</v>
      </c>
      <c r="C102" s="12" t="s">
        <v>11</v>
      </c>
      <c r="D102" s="13">
        <f>476.34*4+(180*4*3.2)</f>
        <v>4209.36</v>
      </c>
      <c r="E102" s="13"/>
      <c r="F102" s="13"/>
      <c r="G102" s="14"/>
    </row>
    <row r="103" spans="1:7" s="5" customFormat="1" ht="12.75">
      <c r="A103" s="29">
        <f t="shared" si="3"/>
        <v>4.129999999999997</v>
      </c>
      <c r="B103" s="15" t="s">
        <v>53</v>
      </c>
      <c r="C103" s="12" t="s">
        <v>10</v>
      </c>
      <c r="D103" s="13">
        <f>4*3*2</f>
        <v>24</v>
      </c>
      <c r="E103" s="13"/>
      <c r="F103" s="13"/>
      <c r="G103" s="14"/>
    </row>
    <row r="104" spans="1:7" s="5" customFormat="1" ht="12.75">
      <c r="A104" s="29">
        <f t="shared" si="3"/>
        <v>4.139999999999997</v>
      </c>
      <c r="B104" s="15" t="s">
        <v>616</v>
      </c>
      <c r="C104" s="12" t="s">
        <v>11</v>
      </c>
      <c r="D104" s="13">
        <v>476.34</v>
      </c>
      <c r="E104" s="13"/>
      <c r="F104" s="13"/>
      <c r="G104" s="14"/>
    </row>
    <row r="105" spans="1:7" s="5" customFormat="1" ht="12.75">
      <c r="A105" s="29">
        <f t="shared" si="3"/>
        <v>4.149999999999997</v>
      </c>
      <c r="B105" s="15" t="s">
        <v>51</v>
      </c>
      <c r="C105" s="12" t="s">
        <v>10</v>
      </c>
      <c r="D105" s="13">
        <f>476.34*6.2</f>
        <v>2953.308</v>
      </c>
      <c r="E105" s="13"/>
      <c r="F105" s="13"/>
      <c r="G105" s="14"/>
    </row>
    <row r="106" spans="1:7" s="5" customFormat="1" ht="12.75">
      <c r="A106" s="29">
        <f t="shared" si="3"/>
        <v>4.159999999999997</v>
      </c>
      <c r="B106" s="15" t="s">
        <v>52</v>
      </c>
      <c r="C106" s="12" t="s">
        <v>10</v>
      </c>
      <c r="D106" s="13">
        <f>+D105</f>
        <v>2953.308</v>
      </c>
      <c r="E106" s="13"/>
      <c r="F106" s="13"/>
      <c r="G106" s="14"/>
    </row>
    <row r="107" spans="1:7" s="5" customFormat="1" ht="26.25" thickBot="1">
      <c r="A107" s="29">
        <f t="shared" si="3"/>
        <v>4.169999999999996</v>
      </c>
      <c r="B107" s="15" t="s">
        <v>55</v>
      </c>
      <c r="C107" s="12" t="s">
        <v>10</v>
      </c>
      <c r="D107" s="13">
        <f>+D103*2</f>
        <v>48</v>
      </c>
      <c r="E107" s="13"/>
      <c r="F107" s="13"/>
      <c r="G107" s="14"/>
    </row>
    <row r="108" spans="1:7" s="5" customFormat="1" ht="13.5" thickBot="1">
      <c r="A108" s="29"/>
      <c r="B108" s="15"/>
      <c r="C108" s="12"/>
      <c r="D108" s="13"/>
      <c r="E108" s="71" t="str">
        <f>+B90</f>
        <v>VERJA PERIMETRAL EN MUROS Y COLUMNAS (H=3.00 MT SNP) 476.34ml</v>
      </c>
      <c r="F108" s="72"/>
      <c r="G108" s="16">
        <f>SUM(F91:F107)</f>
        <v>0</v>
      </c>
    </row>
    <row r="109" spans="1:7" s="5" customFormat="1" ht="12.75">
      <c r="A109" s="29"/>
      <c r="B109" s="15"/>
      <c r="C109" s="12"/>
      <c r="D109" s="13"/>
      <c r="E109" s="13"/>
      <c r="F109" s="13"/>
      <c r="G109" s="14"/>
    </row>
    <row r="110" spans="1:7" s="5" customFormat="1" ht="13.5" thickBot="1">
      <c r="A110" s="29"/>
      <c r="B110" s="15"/>
      <c r="C110" s="12"/>
      <c r="D110" s="13"/>
      <c r="E110" s="13"/>
      <c r="F110" s="13"/>
      <c r="G110" s="14"/>
    </row>
    <row r="111" spans="1:7" s="5" customFormat="1" ht="16.5" thickBot="1">
      <c r="A111" s="28">
        <v>5</v>
      </c>
      <c r="B111" s="61" t="s">
        <v>58</v>
      </c>
      <c r="C111" s="12"/>
      <c r="D111" s="13"/>
      <c r="E111" s="13"/>
      <c r="F111" s="13"/>
      <c r="G111" s="14"/>
    </row>
    <row r="112" spans="1:7" s="5" customFormat="1" ht="12.75">
      <c r="A112" s="29">
        <f>+A111+0.01</f>
        <v>5.01</v>
      </c>
      <c r="B112" s="15" t="s">
        <v>59</v>
      </c>
      <c r="C112" s="12" t="s">
        <v>15</v>
      </c>
      <c r="D112" s="13">
        <f>1020*0.6*0.4</f>
        <v>244.8</v>
      </c>
      <c r="E112" s="13"/>
      <c r="F112" s="13"/>
      <c r="G112" s="14"/>
    </row>
    <row r="113" spans="1:7" s="5" customFormat="1" ht="12.75">
      <c r="A113" s="29">
        <f aca="true" t="shared" si="4" ref="A113:A133">+A112+0.01</f>
        <v>5.02</v>
      </c>
      <c r="B113" s="17" t="s">
        <v>60</v>
      </c>
      <c r="C113" s="12" t="s">
        <v>10</v>
      </c>
      <c r="D113" s="13">
        <f>410*0.3*0.6*0.8</f>
        <v>59.04</v>
      </c>
      <c r="E113" s="13"/>
      <c r="F113" s="13"/>
      <c r="G113" s="14"/>
    </row>
    <row r="114" spans="1:7" s="5" customFormat="1" ht="12.75">
      <c r="A114" s="29">
        <f t="shared" si="4"/>
        <v>5.029999999999999</v>
      </c>
      <c r="B114" s="15" t="s">
        <v>61</v>
      </c>
      <c r="C114" s="12" t="s">
        <v>10</v>
      </c>
      <c r="D114" s="13">
        <f>+D113</f>
        <v>59.04</v>
      </c>
      <c r="E114" s="13"/>
      <c r="F114" s="13"/>
      <c r="G114" s="14"/>
    </row>
    <row r="115" spans="1:7" s="5" customFormat="1" ht="12.75">
      <c r="A115" s="29">
        <f t="shared" si="4"/>
        <v>5.039999999999999</v>
      </c>
      <c r="B115" s="15" t="s">
        <v>62</v>
      </c>
      <c r="C115" s="12" t="s">
        <v>16</v>
      </c>
      <c r="D115" s="13">
        <f>32*19*0.5</f>
        <v>304</v>
      </c>
      <c r="E115" s="13"/>
      <c r="F115" s="13"/>
      <c r="G115" s="14"/>
    </row>
    <row r="116" spans="1:7" s="5" customFormat="1" ht="25.5">
      <c r="A116" s="29">
        <f t="shared" si="4"/>
        <v>5.049999999999999</v>
      </c>
      <c r="B116" s="15" t="s">
        <v>447</v>
      </c>
      <c r="C116" s="12" t="s">
        <v>0</v>
      </c>
      <c r="D116" s="13">
        <f>32*19*0.1</f>
        <v>60.800000000000004</v>
      </c>
      <c r="E116" s="13"/>
      <c r="F116" s="13"/>
      <c r="G116" s="14"/>
    </row>
    <row r="117" spans="1:7" s="5" customFormat="1" ht="12.75">
      <c r="A117" s="29">
        <f t="shared" si="4"/>
        <v>5.059999999999999</v>
      </c>
      <c r="B117" s="15" t="s">
        <v>63</v>
      </c>
      <c r="C117" s="12" t="s">
        <v>13</v>
      </c>
      <c r="D117" s="13">
        <f>2*1.2*2*0.25</f>
        <v>1.2</v>
      </c>
      <c r="E117" s="13"/>
      <c r="F117" s="13"/>
      <c r="G117" s="14"/>
    </row>
    <row r="118" spans="1:7" s="5" customFormat="1" ht="12.75">
      <c r="A118" s="29">
        <f t="shared" si="4"/>
        <v>5.0699999999999985</v>
      </c>
      <c r="B118" s="15" t="s">
        <v>64</v>
      </c>
      <c r="C118" s="12" t="s">
        <v>68</v>
      </c>
      <c r="D118" s="13">
        <f>2.6*0.6*0.4*2</f>
        <v>1.2480000000000002</v>
      </c>
      <c r="E118" s="13"/>
      <c r="F118" s="13"/>
      <c r="G118" s="14"/>
    </row>
    <row r="119" spans="1:7" s="5" customFormat="1" ht="12.75">
      <c r="A119" s="29">
        <f t="shared" si="4"/>
        <v>5.079999999999998</v>
      </c>
      <c r="B119" s="15" t="s">
        <v>65</v>
      </c>
      <c r="C119" s="12" t="s">
        <v>68</v>
      </c>
      <c r="D119" s="13">
        <f>1.8*0.3*0.25*2</f>
        <v>0.27</v>
      </c>
      <c r="E119" s="13"/>
      <c r="F119" s="13"/>
      <c r="G119" s="14"/>
    </row>
    <row r="120" spans="1:7" s="5" customFormat="1" ht="12.75">
      <c r="A120" s="29">
        <f t="shared" si="4"/>
        <v>5.089999999999998</v>
      </c>
      <c r="B120" s="15" t="s">
        <v>67</v>
      </c>
      <c r="C120" s="12" t="s">
        <v>10</v>
      </c>
      <c r="D120" s="13">
        <f>2*2.8+(1*2.8*2)</f>
        <v>11.2</v>
      </c>
      <c r="E120" s="13"/>
      <c r="F120" s="13"/>
      <c r="G120" s="14"/>
    </row>
    <row r="121" spans="1:7" s="5" customFormat="1" ht="12.75">
      <c r="A121" s="29">
        <f t="shared" si="4"/>
        <v>5.099999999999998</v>
      </c>
      <c r="B121" s="15" t="s">
        <v>66</v>
      </c>
      <c r="C121" s="12" t="s">
        <v>11</v>
      </c>
      <c r="D121" s="13">
        <f>3.6*4*2</f>
        <v>28.8</v>
      </c>
      <c r="E121" s="13"/>
      <c r="F121" s="13"/>
      <c r="G121" s="14"/>
    </row>
    <row r="122" spans="1:7" s="5" customFormat="1" ht="12.75">
      <c r="A122" s="29">
        <f t="shared" si="4"/>
        <v>5.109999999999998</v>
      </c>
      <c r="B122" s="15" t="s">
        <v>73</v>
      </c>
      <c r="C122" s="12" t="s">
        <v>13</v>
      </c>
      <c r="D122" s="13">
        <v>2</v>
      </c>
      <c r="E122" s="13"/>
      <c r="F122" s="13"/>
      <c r="G122" s="14"/>
    </row>
    <row r="123" spans="1:7" s="5" customFormat="1" ht="12.75">
      <c r="A123" s="29">
        <f t="shared" si="4"/>
        <v>5.119999999999997</v>
      </c>
      <c r="B123" s="15" t="s">
        <v>74</v>
      </c>
      <c r="C123" s="12" t="s">
        <v>13</v>
      </c>
      <c r="D123" s="13">
        <v>2</v>
      </c>
      <c r="E123" s="13"/>
      <c r="F123" s="13"/>
      <c r="G123" s="14"/>
    </row>
    <row r="124" spans="1:7" s="5" customFormat="1" ht="12.75">
      <c r="A124" s="29">
        <f t="shared" si="4"/>
        <v>5.129999999999997</v>
      </c>
      <c r="B124" s="15" t="s">
        <v>70</v>
      </c>
      <c r="C124" s="12" t="s">
        <v>69</v>
      </c>
      <c r="D124" s="13">
        <v>1</v>
      </c>
      <c r="E124" s="13"/>
      <c r="F124" s="13"/>
      <c r="G124" s="14"/>
    </row>
    <row r="125" spans="1:7" s="5" customFormat="1" ht="25.5">
      <c r="A125" s="29">
        <f t="shared" si="4"/>
        <v>5.139999999999997</v>
      </c>
      <c r="B125" s="15" t="s">
        <v>71</v>
      </c>
      <c r="C125" s="12" t="s">
        <v>10</v>
      </c>
      <c r="D125" s="13">
        <f>32*19</f>
        <v>608</v>
      </c>
      <c r="E125" s="13"/>
      <c r="F125" s="13"/>
      <c r="G125" s="14"/>
    </row>
    <row r="126" spans="1:7" s="5" customFormat="1" ht="12.75">
      <c r="A126" s="29">
        <f t="shared" si="4"/>
        <v>5.149999999999997</v>
      </c>
      <c r="B126" s="15" t="s">
        <v>72</v>
      </c>
      <c r="C126" s="12" t="s">
        <v>10</v>
      </c>
      <c r="D126" s="13">
        <v>41.2</v>
      </c>
      <c r="E126" s="13"/>
      <c r="F126" s="13"/>
      <c r="G126" s="14"/>
    </row>
    <row r="127" spans="1:7" s="5" customFormat="1" ht="12.75">
      <c r="A127" s="29">
        <f t="shared" si="4"/>
        <v>5.159999999999997</v>
      </c>
      <c r="B127" s="15" t="s">
        <v>75</v>
      </c>
      <c r="C127" s="12" t="s">
        <v>11</v>
      </c>
      <c r="D127" s="13">
        <f>53.4*2</f>
        <v>106.8</v>
      </c>
      <c r="E127" s="13"/>
      <c r="F127" s="13"/>
      <c r="G127" s="14"/>
    </row>
    <row r="128" spans="1:7" s="5" customFormat="1" ht="12.75">
      <c r="A128" s="29">
        <f t="shared" si="4"/>
        <v>5.169999999999996</v>
      </c>
      <c r="B128" s="15" t="s">
        <v>76</v>
      </c>
      <c r="C128" s="12" t="s">
        <v>16</v>
      </c>
      <c r="D128" s="13">
        <f>53*1.2*0.2</f>
        <v>12.719999999999999</v>
      </c>
      <c r="E128" s="13"/>
      <c r="F128" s="13"/>
      <c r="G128" s="14"/>
    </row>
    <row r="129" spans="1:7" s="5" customFormat="1" ht="25.5">
      <c r="A129" s="29">
        <f t="shared" si="4"/>
        <v>5.179999999999996</v>
      </c>
      <c r="B129" s="15" t="s">
        <v>444</v>
      </c>
      <c r="C129" s="12" t="s">
        <v>0</v>
      </c>
      <c r="D129" s="13">
        <f>125*1.8*0.1</f>
        <v>22.5</v>
      </c>
      <c r="E129" s="13"/>
      <c r="F129" s="13"/>
      <c r="G129" s="14"/>
    </row>
    <row r="130" spans="1:7" s="5" customFormat="1" ht="25.5">
      <c r="A130" s="29">
        <f t="shared" si="4"/>
        <v>5.189999999999996</v>
      </c>
      <c r="B130" s="15" t="s">
        <v>685</v>
      </c>
      <c r="C130" s="12" t="s">
        <v>13</v>
      </c>
      <c r="D130" s="13">
        <v>2</v>
      </c>
      <c r="E130" s="13"/>
      <c r="F130" s="13"/>
      <c r="G130" s="14"/>
    </row>
    <row r="131" spans="1:7" s="5" customFormat="1" ht="12.75">
      <c r="A131" s="29">
        <f t="shared" si="4"/>
        <v>5.199999999999996</v>
      </c>
      <c r="B131" s="15" t="s">
        <v>445</v>
      </c>
      <c r="C131" s="12" t="s">
        <v>0</v>
      </c>
      <c r="D131" s="13">
        <f>9*2*3.4*0.12</f>
        <v>7.343999999999999</v>
      </c>
      <c r="E131" s="13"/>
      <c r="F131" s="13"/>
      <c r="G131" s="14"/>
    </row>
    <row r="132" spans="1:7" s="5" customFormat="1" ht="12.75">
      <c r="A132" s="29">
        <f t="shared" si="4"/>
        <v>5.2099999999999955</v>
      </c>
      <c r="B132" s="15" t="s">
        <v>79</v>
      </c>
      <c r="C132" s="12" t="s">
        <v>10</v>
      </c>
      <c r="D132" s="13">
        <f>18*3.5</f>
        <v>63</v>
      </c>
      <c r="E132" s="13"/>
      <c r="F132" s="13"/>
      <c r="G132" s="14"/>
    </row>
    <row r="133" spans="1:7" s="5" customFormat="1" ht="13.5" thickBot="1">
      <c r="A133" s="29">
        <f t="shared" si="4"/>
        <v>5.219999999999995</v>
      </c>
      <c r="B133" s="15" t="s">
        <v>78</v>
      </c>
      <c r="C133" s="12" t="s">
        <v>10</v>
      </c>
      <c r="D133" s="13">
        <v>63</v>
      </c>
      <c r="E133" s="13"/>
      <c r="F133" s="13"/>
      <c r="G133" s="14"/>
    </row>
    <row r="134" spans="1:7" s="5" customFormat="1" ht="13.5" thickBot="1">
      <c r="A134" s="29"/>
      <c r="B134" s="15"/>
      <c r="C134" s="12"/>
      <c r="D134" s="13"/>
      <c r="E134" s="84" t="str">
        <f>+B111</f>
        <v>CANCHA MIXTA </v>
      </c>
      <c r="F134" s="85"/>
      <c r="G134" s="16">
        <f>SUM(F110:F133)</f>
        <v>0</v>
      </c>
    </row>
    <row r="135" spans="1:7" s="5" customFormat="1" ht="12.75">
      <c r="A135" s="29"/>
      <c r="B135" s="15"/>
      <c r="C135" s="12"/>
      <c r="D135" s="13"/>
      <c r="E135" s="13"/>
      <c r="F135" s="13"/>
      <c r="G135" s="14"/>
    </row>
    <row r="136" spans="1:7" s="5" customFormat="1" ht="13.5" thickBot="1">
      <c r="A136" s="29"/>
      <c r="B136" s="15"/>
      <c r="C136" s="12"/>
      <c r="D136" s="13"/>
      <c r="E136" s="13"/>
      <c r="F136" s="13"/>
      <c r="G136" s="14"/>
    </row>
    <row r="137" spans="1:7" s="5" customFormat="1" ht="16.5" thickBot="1">
      <c r="A137" s="28">
        <v>6</v>
      </c>
      <c r="B137" s="61" t="s">
        <v>440</v>
      </c>
      <c r="C137" s="12"/>
      <c r="D137" s="13"/>
      <c r="E137" s="13"/>
      <c r="F137" s="13"/>
      <c r="G137" s="14"/>
    </row>
    <row r="138" spans="1:7" s="5" customFormat="1" ht="12.75">
      <c r="A138" s="29">
        <f>+A137+0.01</f>
        <v>6.01</v>
      </c>
      <c r="B138" s="15" t="s">
        <v>97</v>
      </c>
      <c r="C138" s="12" t="s">
        <v>0</v>
      </c>
      <c r="D138" s="13">
        <f>2.56*2</f>
        <v>5.12</v>
      </c>
      <c r="E138" s="13"/>
      <c r="F138" s="13"/>
      <c r="G138" s="14"/>
    </row>
    <row r="139" spans="1:7" s="5" customFormat="1" ht="12.75">
      <c r="A139" s="29">
        <f aca="true" t="shared" si="5" ref="A139:A155">+A138+0.01</f>
        <v>6.02</v>
      </c>
      <c r="B139" s="15" t="s">
        <v>102</v>
      </c>
      <c r="C139" s="12" t="s">
        <v>0</v>
      </c>
      <c r="D139" s="13">
        <f>74.6*0.45*0.6</f>
        <v>20.142</v>
      </c>
      <c r="E139" s="13"/>
      <c r="F139" s="13"/>
      <c r="G139" s="14"/>
    </row>
    <row r="140" spans="1:7" s="5" customFormat="1" ht="12.75">
      <c r="A140" s="29">
        <f t="shared" si="5"/>
        <v>6.029999999999999</v>
      </c>
      <c r="B140" s="15" t="s">
        <v>103</v>
      </c>
      <c r="C140" s="12" t="s">
        <v>0</v>
      </c>
      <c r="D140" s="13">
        <f>0.7*0.7*0.3*8</f>
        <v>1.1759999999999997</v>
      </c>
      <c r="E140" s="13"/>
      <c r="F140" s="13"/>
      <c r="G140" s="14"/>
    </row>
    <row r="141" spans="1:7" s="5" customFormat="1" ht="12.75">
      <c r="A141" s="29">
        <f t="shared" si="5"/>
        <v>6.039999999999999</v>
      </c>
      <c r="B141" s="15" t="s">
        <v>104</v>
      </c>
      <c r="C141" s="12" t="s">
        <v>0</v>
      </c>
      <c r="D141" s="13">
        <f>3.4*8*0.25*0.25</f>
        <v>1.7</v>
      </c>
      <c r="E141" s="13"/>
      <c r="F141" s="13"/>
      <c r="G141" s="14"/>
    </row>
    <row r="142" spans="1:7" s="5" customFormat="1" ht="12.75">
      <c r="A142" s="29">
        <f t="shared" si="5"/>
        <v>6.049999999999999</v>
      </c>
      <c r="B142" s="15" t="s">
        <v>43</v>
      </c>
      <c r="C142" s="12" t="s">
        <v>10</v>
      </c>
      <c r="D142" s="13">
        <f>73.2*0.4</f>
        <v>29.28</v>
      </c>
      <c r="E142" s="13"/>
      <c r="F142" s="13"/>
      <c r="G142" s="14"/>
    </row>
    <row r="143" spans="1:7" s="5" customFormat="1" ht="12.75">
      <c r="A143" s="29">
        <f t="shared" si="5"/>
        <v>6.059999999999999</v>
      </c>
      <c r="B143" s="15" t="s">
        <v>105</v>
      </c>
      <c r="C143" s="12" t="s">
        <v>10</v>
      </c>
      <c r="D143" s="13">
        <f>73.2*0.2</f>
        <v>14.64</v>
      </c>
      <c r="E143" s="13"/>
      <c r="F143" s="13"/>
      <c r="G143" s="14"/>
    </row>
    <row r="144" spans="1:7" s="5" customFormat="1" ht="12.75">
      <c r="A144" s="29">
        <f t="shared" si="5"/>
        <v>6.0699999999999985</v>
      </c>
      <c r="B144" s="15" t="s">
        <v>106</v>
      </c>
      <c r="C144" s="12" t="s">
        <v>0</v>
      </c>
      <c r="D144" s="13">
        <f>83.6*0.2*0.2</f>
        <v>3.344</v>
      </c>
      <c r="E144" s="13"/>
      <c r="F144" s="13"/>
      <c r="G144" s="14"/>
    </row>
    <row r="145" spans="1:7" s="5" customFormat="1" ht="12.75">
      <c r="A145" s="29">
        <f t="shared" si="5"/>
        <v>6.079999999999998</v>
      </c>
      <c r="B145" s="15" t="s">
        <v>114</v>
      </c>
      <c r="C145" s="12" t="s">
        <v>10</v>
      </c>
      <c r="D145" s="13">
        <f>9*9*2</f>
        <v>162</v>
      </c>
      <c r="E145" s="13"/>
      <c r="F145" s="13"/>
      <c r="G145" s="14"/>
    </row>
    <row r="146" spans="1:7" s="5" customFormat="1" ht="12.75">
      <c r="A146" s="29">
        <f t="shared" si="5"/>
        <v>6.089999999999998</v>
      </c>
      <c r="B146" s="15" t="s">
        <v>116</v>
      </c>
      <c r="C146" s="12" t="s">
        <v>117</v>
      </c>
      <c r="D146" s="13">
        <v>2</v>
      </c>
      <c r="E146" s="13"/>
      <c r="F146" s="13"/>
      <c r="G146" s="14"/>
    </row>
    <row r="147" spans="1:7" s="5" customFormat="1" ht="12.75">
      <c r="A147" s="29">
        <f t="shared" si="5"/>
        <v>6.099999999999998</v>
      </c>
      <c r="B147" s="15" t="s">
        <v>115</v>
      </c>
      <c r="C147" s="12" t="s">
        <v>10</v>
      </c>
      <c r="D147" s="13">
        <f>9*9*2</f>
        <v>162</v>
      </c>
      <c r="E147" s="13"/>
      <c r="F147" s="13"/>
      <c r="G147" s="14"/>
    </row>
    <row r="148" spans="1:7" s="5" customFormat="1" ht="12.75">
      <c r="A148" s="29">
        <f t="shared" si="5"/>
        <v>6.109999999999998</v>
      </c>
      <c r="B148" s="15" t="s">
        <v>110</v>
      </c>
      <c r="C148" s="12" t="s">
        <v>10</v>
      </c>
      <c r="D148" s="13">
        <f>+D143+(D144/0.2/0.2)</f>
        <v>98.24</v>
      </c>
      <c r="E148" s="13"/>
      <c r="F148" s="13"/>
      <c r="G148" s="14"/>
    </row>
    <row r="149" spans="1:7" s="5" customFormat="1" ht="12.75">
      <c r="A149" s="29">
        <f t="shared" si="5"/>
        <v>6.119999999999997</v>
      </c>
      <c r="B149" s="15" t="s">
        <v>111</v>
      </c>
      <c r="C149" s="12" t="s">
        <v>10</v>
      </c>
      <c r="D149" s="13">
        <f>+D148</f>
        <v>98.24</v>
      </c>
      <c r="E149" s="13"/>
      <c r="F149" s="13"/>
      <c r="G149" s="14"/>
    </row>
    <row r="150" spans="1:7" s="5" customFormat="1" ht="12.75">
      <c r="A150" s="29">
        <f t="shared" si="5"/>
        <v>6.129999999999997</v>
      </c>
      <c r="B150" s="15" t="s">
        <v>107</v>
      </c>
      <c r="C150" s="12" t="s">
        <v>11</v>
      </c>
      <c r="D150" s="13">
        <f>73*4</f>
        <v>292</v>
      </c>
      <c r="E150" s="13"/>
      <c r="F150" s="13"/>
      <c r="G150" s="14"/>
    </row>
    <row r="151" spans="1:7" s="5" customFormat="1" ht="12.75">
      <c r="A151" s="29">
        <f t="shared" si="5"/>
        <v>6.139999999999997</v>
      </c>
      <c r="B151" s="15" t="s">
        <v>443</v>
      </c>
      <c r="C151" s="12" t="s">
        <v>0</v>
      </c>
      <c r="D151" s="13">
        <f>7.1*7.1*2*0.1</f>
        <v>10.082</v>
      </c>
      <c r="E151" s="13"/>
      <c r="F151" s="13"/>
      <c r="G151" s="14"/>
    </row>
    <row r="152" spans="1:7" s="5" customFormat="1" ht="12.75">
      <c r="A152" s="29">
        <f t="shared" si="5"/>
        <v>6.149999999999997</v>
      </c>
      <c r="B152" s="15" t="s">
        <v>108</v>
      </c>
      <c r="C152" s="12" t="s">
        <v>0</v>
      </c>
      <c r="D152" s="13">
        <f>+D151*0.25</f>
        <v>2.5205</v>
      </c>
      <c r="E152" s="13"/>
      <c r="F152" s="13"/>
      <c r="G152" s="14"/>
    </row>
    <row r="153" spans="1:7" s="5" customFormat="1" ht="12.75">
      <c r="A153" s="29">
        <f t="shared" si="5"/>
        <v>6.159999999999997</v>
      </c>
      <c r="B153" s="15" t="s">
        <v>109</v>
      </c>
      <c r="C153" s="12" t="s">
        <v>10</v>
      </c>
      <c r="D153" s="13">
        <f>+D149</f>
        <v>98.24</v>
      </c>
      <c r="E153" s="13"/>
      <c r="F153" s="13"/>
      <c r="G153" s="14"/>
    </row>
    <row r="154" spans="1:7" s="5" customFormat="1" ht="12.75">
      <c r="A154" s="29">
        <f t="shared" si="5"/>
        <v>6.169999999999996</v>
      </c>
      <c r="B154" s="15" t="s">
        <v>113</v>
      </c>
      <c r="C154" s="12" t="s">
        <v>13</v>
      </c>
      <c r="D154" s="13">
        <v>4</v>
      </c>
      <c r="E154" s="13"/>
      <c r="F154" s="13"/>
      <c r="G154" s="14"/>
    </row>
    <row r="155" spans="1:7" s="5" customFormat="1" ht="12.75">
      <c r="A155" s="29">
        <f t="shared" si="5"/>
        <v>6.179999999999996</v>
      </c>
      <c r="B155" s="15" t="s">
        <v>112</v>
      </c>
      <c r="C155" s="12" t="s">
        <v>13</v>
      </c>
      <c r="D155" s="13">
        <v>2</v>
      </c>
      <c r="E155" s="13"/>
      <c r="F155" s="13"/>
      <c r="G155" s="14"/>
    </row>
    <row r="156" spans="1:7" s="5" customFormat="1" ht="13.5" thickBot="1">
      <c r="A156" s="29"/>
      <c r="B156" s="15"/>
      <c r="C156" s="12"/>
      <c r="D156" s="13"/>
      <c r="E156" s="13"/>
      <c r="F156" s="13"/>
      <c r="G156" s="14"/>
    </row>
    <row r="157" spans="1:7" s="5" customFormat="1" ht="13.5" thickBot="1">
      <c r="A157" s="29"/>
      <c r="B157" s="15"/>
      <c r="C157" s="12"/>
      <c r="D157" s="13"/>
      <c r="E157" s="84" t="str">
        <f>+B137</f>
        <v>GACEBOS 7.10x7.10  (2 Unds)</v>
      </c>
      <c r="F157" s="85"/>
      <c r="G157" s="16">
        <f>SUM(F137:F156)</f>
        <v>0</v>
      </c>
    </row>
    <row r="158" spans="1:7" s="5" customFormat="1" ht="12.75">
      <c r="A158" s="29"/>
      <c r="B158" s="15"/>
      <c r="C158" s="12"/>
      <c r="D158" s="13"/>
      <c r="E158" s="13"/>
      <c r="F158" s="13"/>
      <c r="G158" s="14"/>
    </row>
    <row r="159" spans="1:7" s="5" customFormat="1" ht="13.5" thickBot="1">
      <c r="A159" s="29"/>
      <c r="B159" s="15"/>
      <c r="C159" s="12"/>
      <c r="D159" s="13"/>
      <c r="E159" s="13"/>
      <c r="F159" s="13"/>
      <c r="G159" s="14"/>
    </row>
    <row r="160" spans="1:7" s="5" customFormat="1" ht="16.5" thickBot="1">
      <c r="A160" s="28">
        <v>7</v>
      </c>
      <c r="B160" s="61" t="s">
        <v>461</v>
      </c>
      <c r="C160" s="12"/>
      <c r="D160" s="13"/>
      <c r="E160" s="13"/>
      <c r="F160" s="13"/>
      <c r="G160" s="14"/>
    </row>
    <row r="161" spans="1:7" s="5" customFormat="1" ht="12.75">
      <c r="A161" s="29">
        <f aca="true" t="shared" si="6" ref="A161:A166">+A160+0.01</f>
        <v>7.01</v>
      </c>
      <c r="B161" s="15" t="s">
        <v>459</v>
      </c>
      <c r="C161" s="12" t="s">
        <v>10</v>
      </c>
      <c r="D161" s="13">
        <f>30*12</f>
        <v>360</v>
      </c>
      <c r="E161" s="13"/>
      <c r="F161" s="13"/>
      <c r="G161" s="14"/>
    </row>
    <row r="162" spans="1:7" s="5" customFormat="1" ht="25.5">
      <c r="A162" s="29">
        <f t="shared" si="6"/>
        <v>7.02</v>
      </c>
      <c r="B162" s="15" t="s">
        <v>304</v>
      </c>
      <c r="C162" s="12" t="s">
        <v>0</v>
      </c>
      <c r="D162" s="13">
        <f>30*12*0.12</f>
        <v>43.199999999999996</v>
      </c>
      <c r="E162" s="13"/>
      <c r="F162" s="13"/>
      <c r="G162" s="14"/>
    </row>
    <row r="163" spans="1:7" s="5" customFormat="1" ht="12.75">
      <c r="A163" s="29">
        <f t="shared" si="6"/>
        <v>7.029999999999999</v>
      </c>
      <c r="B163" s="15" t="s">
        <v>119</v>
      </c>
      <c r="C163" s="12" t="s">
        <v>11</v>
      </c>
      <c r="D163" s="13">
        <f>30+12</f>
        <v>42</v>
      </c>
      <c r="E163" s="13"/>
      <c r="F163" s="13"/>
      <c r="G163" s="14"/>
    </row>
    <row r="164" spans="1:7" s="5" customFormat="1" ht="12.75">
      <c r="A164" s="29">
        <f t="shared" si="6"/>
        <v>7.039999999999999</v>
      </c>
      <c r="B164" s="15" t="s">
        <v>305</v>
      </c>
      <c r="C164" s="12" t="s">
        <v>118</v>
      </c>
      <c r="D164" s="13">
        <v>8</v>
      </c>
      <c r="E164" s="13"/>
      <c r="F164" s="13"/>
      <c r="G164" s="14"/>
    </row>
    <row r="165" spans="1:7" s="5" customFormat="1" ht="25.5">
      <c r="A165" s="29">
        <f t="shared" si="6"/>
        <v>7.049999999999999</v>
      </c>
      <c r="B165" s="15" t="s">
        <v>307</v>
      </c>
      <c r="C165" s="12" t="s">
        <v>12</v>
      </c>
      <c r="D165" s="13">
        <v>1</v>
      </c>
      <c r="E165" s="13"/>
      <c r="F165" s="13"/>
      <c r="G165" s="14"/>
    </row>
    <row r="166" spans="1:7" s="5" customFormat="1" ht="13.5" thickBot="1">
      <c r="A166" s="29">
        <f t="shared" si="6"/>
        <v>7.059999999999999</v>
      </c>
      <c r="B166" s="15" t="s">
        <v>306</v>
      </c>
      <c r="C166" s="12" t="s">
        <v>12</v>
      </c>
      <c r="D166" s="13">
        <v>1</v>
      </c>
      <c r="E166" s="13"/>
      <c r="F166" s="13"/>
      <c r="G166" s="14"/>
    </row>
    <row r="167" spans="1:7" s="5" customFormat="1" ht="13.5" thickBot="1">
      <c r="A167" s="29"/>
      <c r="B167" s="15"/>
      <c r="C167" s="12"/>
      <c r="D167" s="13"/>
      <c r="E167" s="71" t="str">
        <f>+B160</f>
        <v>PARQUEO  (30.00 X 12.00)</v>
      </c>
      <c r="F167" s="72"/>
      <c r="G167" s="16">
        <f>SUM(F159:F166)</f>
        <v>0</v>
      </c>
    </row>
    <row r="168" spans="1:7" s="5" customFormat="1" ht="12.75">
      <c r="A168" s="29"/>
      <c r="B168" s="15"/>
      <c r="C168" s="12"/>
      <c r="D168" s="13"/>
      <c r="E168" s="13"/>
      <c r="F168" s="13"/>
      <c r="G168" s="14"/>
    </row>
    <row r="169" spans="1:7" s="5" customFormat="1" ht="13.5" thickBot="1">
      <c r="A169" s="29"/>
      <c r="B169" s="15"/>
      <c r="C169" s="12"/>
      <c r="D169" s="13"/>
      <c r="E169" s="13"/>
      <c r="F169" s="13"/>
      <c r="G169" s="14"/>
    </row>
    <row r="170" spans="1:7" s="5" customFormat="1" ht="16.5" thickBot="1">
      <c r="A170" s="28">
        <v>8</v>
      </c>
      <c r="B170" s="61" t="s">
        <v>614</v>
      </c>
      <c r="C170" s="12"/>
      <c r="D170" s="13"/>
      <c r="E170" s="13"/>
      <c r="F170" s="13"/>
      <c r="G170" s="14"/>
    </row>
    <row r="171" spans="1:7" s="5" customFormat="1" ht="12.75">
      <c r="A171" s="29">
        <f>+A170+0.01</f>
        <v>8.01</v>
      </c>
      <c r="B171" s="18" t="s">
        <v>395</v>
      </c>
      <c r="C171" s="19" t="s">
        <v>10</v>
      </c>
      <c r="D171" s="20">
        <v>703.5606666666663</v>
      </c>
      <c r="E171" s="13"/>
      <c r="F171" s="13"/>
      <c r="G171" s="14"/>
    </row>
    <row r="172" spans="1:7" s="5" customFormat="1" ht="15">
      <c r="A172" s="29"/>
      <c r="B172" s="21" t="s">
        <v>206</v>
      </c>
      <c r="C172" s="19"/>
      <c r="D172" s="20"/>
      <c r="E172" s="13"/>
      <c r="F172" s="13"/>
      <c r="G172" s="14"/>
    </row>
    <row r="173" spans="1:7" s="5" customFormat="1" ht="12.75">
      <c r="A173" s="29">
        <v>8.02</v>
      </c>
      <c r="B173" s="18" t="s">
        <v>121</v>
      </c>
      <c r="C173" s="19" t="s">
        <v>0</v>
      </c>
      <c r="D173" s="20">
        <v>78.63858</v>
      </c>
      <c r="E173" s="13"/>
      <c r="F173" s="13"/>
      <c r="G173" s="14"/>
    </row>
    <row r="174" spans="1:7" s="5" customFormat="1" ht="12.75">
      <c r="A174" s="29">
        <f aca="true" t="shared" si="7" ref="A174:A235">+A173+0.01</f>
        <v>8.03</v>
      </c>
      <c r="B174" s="18" t="s">
        <v>122</v>
      </c>
      <c r="C174" s="19" t="s">
        <v>0</v>
      </c>
      <c r="D174" s="20">
        <v>3.6166</v>
      </c>
      <c r="E174" s="13"/>
      <c r="F174" s="13"/>
      <c r="G174" s="14"/>
    </row>
    <row r="175" spans="1:7" s="5" customFormat="1" ht="12.75">
      <c r="A175" s="29">
        <f t="shared" si="7"/>
        <v>8.04</v>
      </c>
      <c r="B175" s="18" t="s">
        <v>123</v>
      </c>
      <c r="C175" s="19" t="s">
        <v>0</v>
      </c>
      <c r="D175" s="20">
        <v>7.704000000000001</v>
      </c>
      <c r="E175" s="13"/>
      <c r="F175" s="13"/>
      <c r="G175" s="14"/>
    </row>
    <row r="176" spans="1:7" s="5" customFormat="1" ht="12.75">
      <c r="A176" s="29">
        <f t="shared" si="7"/>
        <v>8.049999999999999</v>
      </c>
      <c r="B176" s="18" t="s">
        <v>124</v>
      </c>
      <c r="C176" s="19" t="s">
        <v>0</v>
      </c>
      <c r="D176" s="20">
        <v>2.14</v>
      </c>
      <c r="E176" s="13"/>
      <c r="F176" s="13"/>
      <c r="G176" s="14"/>
    </row>
    <row r="177" spans="1:7" s="5" customFormat="1" ht="12.75">
      <c r="A177" s="29">
        <f t="shared" si="7"/>
        <v>8.059999999999999</v>
      </c>
      <c r="B177" s="18" t="s">
        <v>125</v>
      </c>
      <c r="C177" s="19" t="s">
        <v>0</v>
      </c>
      <c r="D177" s="20">
        <v>6.1632</v>
      </c>
      <c r="E177" s="13"/>
      <c r="F177" s="13"/>
      <c r="G177" s="14"/>
    </row>
    <row r="178" spans="1:7" s="5" customFormat="1" ht="12.75">
      <c r="A178" s="29">
        <f t="shared" si="7"/>
        <v>8.069999999999999</v>
      </c>
      <c r="B178" s="18" t="s">
        <v>126</v>
      </c>
      <c r="C178" s="19" t="s">
        <v>0</v>
      </c>
      <c r="D178" s="20">
        <v>23.112000000000002</v>
      </c>
      <c r="E178" s="13"/>
      <c r="F178" s="13"/>
      <c r="G178" s="14"/>
    </row>
    <row r="179" spans="1:7" s="5" customFormat="1" ht="12.75">
      <c r="A179" s="29">
        <f t="shared" si="7"/>
        <v>8.079999999999998</v>
      </c>
      <c r="B179" s="18" t="s">
        <v>127</v>
      </c>
      <c r="C179" s="19" t="s">
        <v>0</v>
      </c>
      <c r="D179" s="20">
        <v>59.92</v>
      </c>
      <c r="E179" s="13"/>
      <c r="F179" s="13"/>
      <c r="G179" s="14"/>
    </row>
    <row r="180" spans="1:7" s="5" customFormat="1" ht="12.75">
      <c r="A180" s="29">
        <f t="shared" si="7"/>
        <v>8.089999999999998</v>
      </c>
      <c r="B180" s="18" t="s">
        <v>128</v>
      </c>
      <c r="C180" s="19" t="s">
        <v>0</v>
      </c>
      <c r="D180" s="20">
        <v>3.531</v>
      </c>
      <c r="E180" s="13"/>
      <c r="F180" s="13"/>
      <c r="G180" s="14"/>
    </row>
    <row r="181" spans="1:7" s="5" customFormat="1" ht="12.75">
      <c r="A181" s="29">
        <f t="shared" si="7"/>
        <v>8.099999999999998</v>
      </c>
      <c r="B181" s="18" t="s">
        <v>129</v>
      </c>
      <c r="C181" s="19" t="s">
        <v>0</v>
      </c>
      <c r="D181" s="20">
        <v>9.587200000000001</v>
      </c>
      <c r="E181" s="13"/>
      <c r="F181" s="13"/>
      <c r="G181" s="14"/>
    </row>
    <row r="182" spans="1:7" s="5" customFormat="1" ht="12.75">
      <c r="A182" s="29">
        <f t="shared" si="7"/>
        <v>8.109999999999998</v>
      </c>
      <c r="B182" s="18" t="s">
        <v>130</v>
      </c>
      <c r="C182" s="19" t="s">
        <v>0</v>
      </c>
      <c r="D182" s="20">
        <v>5.992</v>
      </c>
      <c r="E182" s="13"/>
      <c r="F182" s="13"/>
      <c r="G182" s="14"/>
    </row>
    <row r="183" spans="1:7" s="5" customFormat="1" ht="15">
      <c r="A183" s="29"/>
      <c r="B183" s="21" t="s">
        <v>205</v>
      </c>
      <c r="C183" s="19"/>
      <c r="D183" s="20"/>
      <c r="E183" s="13"/>
      <c r="F183" s="13"/>
      <c r="G183" s="14"/>
    </row>
    <row r="184" spans="1:7" s="5" customFormat="1" ht="12.75">
      <c r="A184" s="29">
        <v>8.12</v>
      </c>
      <c r="B184" s="18" t="s">
        <v>207</v>
      </c>
      <c r="C184" s="19" t="s">
        <v>16</v>
      </c>
      <c r="D184" s="20">
        <v>64.32987017999999</v>
      </c>
      <c r="E184" s="13"/>
      <c r="F184" s="13"/>
      <c r="G184" s="14"/>
    </row>
    <row r="185" spans="1:7" s="5" customFormat="1" ht="25.5">
      <c r="A185" s="29">
        <f t="shared" si="7"/>
        <v>8.129999999999999</v>
      </c>
      <c r="B185" s="18" t="s">
        <v>209</v>
      </c>
      <c r="C185" s="19" t="s">
        <v>16</v>
      </c>
      <c r="D185" s="20">
        <v>294.1323</v>
      </c>
      <c r="E185" s="13"/>
      <c r="F185" s="13"/>
      <c r="G185" s="14"/>
    </row>
    <row r="186" spans="1:7" s="5" customFormat="1" ht="12.75">
      <c r="A186" s="29">
        <f t="shared" si="7"/>
        <v>8.139999999999999</v>
      </c>
      <c r="B186" s="18" t="s">
        <v>208</v>
      </c>
      <c r="C186" s="19" t="s">
        <v>50</v>
      </c>
      <c r="D186" s="20">
        <v>116.75037500000002</v>
      </c>
      <c r="E186" s="13"/>
      <c r="F186" s="13"/>
      <c r="G186" s="14"/>
    </row>
    <row r="187" spans="1:7" s="5" customFormat="1" ht="15">
      <c r="A187" s="29"/>
      <c r="B187" s="21" t="s">
        <v>220</v>
      </c>
      <c r="C187" s="19"/>
      <c r="D187" s="20"/>
      <c r="E187" s="13"/>
      <c r="F187" s="13"/>
      <c r="G187" s="14"/>
    </row>
    <row r="188" spans="1:7" s="5" customFormat="1" ht="12.75">
      <c r="A188" s="29">
        <v>8.15</v>
      </c>
      <c r="B188" s="18" t="s">
        <v>131</v>
      </c>
      <c r="C188" s="19" t="s">
        <v>0</v>
      </c>
      <c r="D188" s="20">
        <v>19.659645</v>
      </c>
      <c r="E188" s="13"/>
      <c r="F188" s="13"/>
      <c r="G188" s="14"/>
    </row>
    <row r="189" spans="1:7" s="5" customFormat="1" ht="12.75">
      <c r="A189" s="29">
        <f t="shared" si="7"/>
        <v>8.16</v>
      </c>
      <c r="B189" s="22" t="s">
        <v>210</v>
      </c>
      <c r="C189" s="19" t="s">
        <v>0</v>
      </c>
      <c r="D189" s="20">
        <v>1.08498</v>
      </c>
      <c r="E189" s="13"/>
      <c r="F189" s="13"/>
      <c r="G189" s="14"/>
    </row>
    <row r="190" spans="1:7" s="5" customFormat="1" ht="12.75">
      <c r="A190" s="29">
        <f t="shared" si="7"/>
        <v>8.17</v>
      </c>
      <c r="B190" s="22" t="s">
        <v>211</v>
      </c>
      <c r="C190" s="19" t="s">
        <v>0</v>
      </c>
      <c r="D190" s="20">
        <v>3.0816</v>
      </c>
      <c r="E190" s="13"/>
      <c r="F190" s="13"/>
      <c r="G190" s="14"/>
    </row>
    <row r="191" spans="1:7" s="5" customFormat="1" ht="12.75">
      <c r="A191" s="29">
        <f t="shared" si="7"/>
        <v>8.18</v>
      </c>
      <c r="B191" s="22" t="s">
        <v>212</v>
      </c>
      <c r="C191" s="19" t="s">
        <v>0</v>
      </c>
      <c r="D191" s="20">
        <v>0.8560000000000001</v>
      </c>
      <c r="E191" s="13"/>
      <c r="F191" s="13"/>
      <c r="G191" s="14"/>
    </row>
    <row r="192" spans="1:7" s="5" customFormat="1" ht="12.75">
      <c r="A192" s="29">
        <f t="shared" si="7"/>
        <v>8.19</v>
      </c>
      <c r="B192" s="22" t="s">
        <v>213</v>
      </c>
      <c r="C192" s="19" t="s">
        <v>0</v>
      </c>
      <c r="D192" s="20">
        <v>2.46528</v>
      </c>
      <c r="E192" s="13"/>
      <c r="F192" s="13"/>
      <c r="G192" s="14"/>
    </row>
    <row r="193" spans="1:7" s="5" customFormat="1" ht="12.75">
      <c r="A193" s="29">
        <f t="shared" si="7"/>
        <v>8.2</v>
      </c>
      <c r="B193" s="22" t="s">
        <v>214</v>
      </c>
      <c r="C193" s="19" t="s">
        <v>0</v>
      </c>
      <c r="D193" s="20">
        <v>9.244800000000001</v>
      </c>
      <c r="E193" s="13"/>
      <c r="F193" s="13"/>
      <c r="G193" s="14"/>
    </row>
    <row r="194" spans="1:7" s="5" customFormat="1" ht="12.75">
      <c r="A194" s="29">
        <f t="shared" si="7"/>
        <v>8.209999999999999</v>
      </c>
      <c r="B194" s="18" t="s">
        <v>215</v>
      </c>
      <c r="C194" s="19" t="s">
        <v>0</v>
      </c>
      <c r="D194" s="20">
        <v>23.968</v>
      </c>
      <c r="E194" s="13"/>
      <c r="F194" s="13"/>
      <c r="G194" s="14"/>
    </row>
    <row r="195" spans="1:7" s="5" customFormat="1" ht="12.75">
      <c r="A195" s="29">
        <f t="shared" si="7"/>
        <v>8.219999999999999</v>
      </c>
      <c r="B195" s="18" t="s">
        <v>216</v>
      </c>
      <c r="C195" s="19" t="s">
        <v>0</v>
      </c>
      <c r="D195" s="20">
        <v>2.1186000000000003</v>
      </c>
      <c r="E195" s="13"/>
      <c r="F195" s="13"/>
      <c r="G195" s="14"/>
    </row>
    <row r="196" spans="1:7" s="5" customFormat="1" ht="12.75">
      <c r="A196" s="29">
        <f t="shared" si="7"/>
        <v>8.229999999999999</v>
      </c>
      <c r="B196" s="18" t="s">
        <v>217</v>
      </c>
      <c r="C196" s="19" t="s">
        <v>0</v>
      </c>
      <c r="D196" s="20">
        <v>3.8348800000000005</v>
      </c>
      <c r="E196" s="13"/>
      <c r="F196" s="13"/>
      <c r="G196" s="14"/>
    </row>
    <row r="197" spans="1:7" s="5" customFormat="1" ht="12.75">
      <c r="A197" s="29">
        <f t="shared" si="7"/>
        <v>8.239999999999998</v>
      </c>
      <c r="B197" s="18" t="s">
        <v>218</v>
      </c>
      <c r="C197" s="19" t="s">
        <v>0</v>
      </c>
      <c r="D197" s="20">
        <v>4.7936000000000005</v>
      </c>
      <c r="E197" s="13"/>
      <c r="F197" s="13"/>
      <c r="G197" s="14"/>
    </row>
    <row r="198" spans="1:7" s="5" customFormat="1" ht="12.75">
      <c r="A198" s="29">
        <f t="shared" si="7"/>
        <v>8.249999999999998</v>
      </c>
      <c r="B198" s="18" t="s">
        <v>219</v>
      </c>
      <c r="C198" s="19" t="s">
        <v>0</v>
      </c>
      <c r="D198" s="20">
        <v>5.23872</v>
      </c>
      <c r="E198" s="13"/>
      <c r="F198" s="13"/>
      <c r="G198" s="14"/>
    </row>
    <row r="199" spans="1:7" s="5" customFormat="1" ht="12.75">
      <c r="A199" s="29">
        <f t="shared" si="7"/>
        <v>8.259999999999998</v>
      </c>
      <c r="B199" s="18" t="s">
        <v>221</v>
      </c>
      <c r="C199" s="19" t="s">
        <v>0</v>
      </c>
      <c r="D199" s="20">
        <v>0.61632</v>
      </c>
      <c r="E199" s="13"/>
      <c r="F199" s="13"/>
      <c r="G199" s="14"/>
    </row>
    <row r="200" spans="1:7" s="5" customFormat="1" ht="12.75">
      <c r="A200" s="29">
        <f t="shared" si="7"/>
        <v>8.269999999999998</v>
      </c>
      <c r="B200" s="18" t="s">
        <v>222</v>
      </c>
      <c r="C200" s="19" t="s">
        <v>0</v>
      </c>
      <c r="D200" s="20">
        <v>2.3176200000000002</v>
      </c>
      <c r="E200" s="13"/>
      <c r="F200" s="13"/>
      <c r="G200" s="14"/>
    </row>
    <row r="201" spans="1:7" s="5" customFormat="1" ht="12.75">
      <c r="A201" s="29">
        <f t="shared" si="7"/>
        <v>8.279999999999998</v>
      </c>
      <c r="B201" s="18" t="s">
        <v>223</v>
      </c>
      <c r="C201" s="19" t="s">
        <v>0</v>
      </c>
      <c r="D201" s="20">
        <v>0.7318800000000001</v>
      </c>
      <c r="E201" s="13"/>
      <c r="F201" s="13"/>
      <c r="G201" s="14"/>
    </row>
    <row r="202" spans="1:7" s="5" customFormat="1" ht="12.75">
      <c r="A202" s="29">
        <f t="shared" si="7"/>
        <v>8.289999999999997</v>
      </c>
      <c r="B202" s="18" t="s">
        <v>224</v>
      </c>
      <c r="C202" s="19" t="s">
        <v>0</v>
      </c>
      <c r="D202" s="20">
        <v>1.4637600000000002</v>
      </c>
      <c r="E202" s="13"/>
      <c r="F202" s="13"/>
      <c r="G202" s="14"/>
    </row>
    <row r="203" spans="1:7" s="5" customFormat="1" ht="12.75">
      <c r="A203" s="29">
        <f t="shared" si="7"/>
        <v>8.299999999999997</v>
      </c>
      <c r="B203" s="18" t="s">
        <v>225</v>
      </c>
      <c r="C203" s="19" t="s">
        <v>0</v>
      </c>
      <c r="D203" s="20">
        <v>5.855040000000001</v>
      </c>
      <c r="E203" s="13"/>
      <c r="F203" s="13"/>
      <c r="G203" s="14"/>
    </row>
    <row r="204" spans="1:7" s="5" customFormat="1" ht="12.75">
      <c r="A204" s="29">
        <f t="shared" si="7"/>
        <v>8.309999999999997</v>
      </c>
      <c r="B204" s="18" t="s">
        <v>226</v>
      </c>
      <c r="C204" s="19" t="s">
        <v>0</v>
      </c>
      <c r="D204" s="20">
        <v>10.24632</v>
      </c>
      <c r="E204" s="13"/>
      <c r="F204" s="13"/>
      <c r="G204" s="14"/>
    </row>
    <row r="205" spans="1:7" s="5" customFormat="1" ht="12.75">
      <c r="A205" s="29">
        <f t="shared" si="7"/>
        <v>8.319999999999997</v>
      </c>
      <c r="B205" s="18" t="s">
        <v>227</v>
      </c>
      <c r="C205" s="19" t="s">
        <v>0</v>
      </c>
      <c r="D205" s="20">
        <v>1.4637600000000002</v>
      </c>
      <c r="E205" s="13"/>
      <c r="F205" s="13"/>
      <c r="G205" s="14"/>
    </row>
    <row r="206" spans="1:7" s="5" customFormat="1" ht="12.75">
      <c r="A206" s="29">
        <f t="shared" si="7"/>
        <v>8.329999999999997</v>
      </c>
      <c r="B206" s="18" t="s">
        <v>228</v>
      </c>
      <c r="C206" s="19" t="s">
        <v>0</v>
      </c>
      <c r="D206" s="20">
        <v>9.15813</v>
      </c>
      <c r="E206" s="13"/>
      <c r="F206" s="13"/>
      <c r="G206" s="14"/>
    </row>
    <row r="207" spans="1:7" s="5" customFormat="1" ht="12.75">
      <c r="A207" s="29">
        <f t="shared" si="7"/>
        <v>8.339999999999996</v>
      </c>
      <c r="B207" s="18" t="s">
        <v>229</v>
      </c>
      <c r="C207" s="19" t="s">
        <v>0</v>
      </c>
      <c r="D207" s="20">
        <v>4.4399115</v>
      </c>
      <c r="E207" s="13"/>
      <c r="F207" s="13"/>
      <c r="G207" s="14"/>
    </row>
    <row r="208" spans="1:7" s="5" customFormat="1" ht="12.75">
      <c r="A208" s="29">
        <f t="shared" si="7"/>
        <v>8.349999999999996</v>
      </c>
      <c r="B208" s="18" t="s">
        <v>230</v>
      </c>
      <c r="C208" s="19" t="s">
        <v>0</v>
      </c>
      <c r="D208" s="20">
        <v>0.2247</v>
      </c>
      <c r="E208" s="13"/>
      <c r="F208" s="13"/>
      <c r="G208" s="14"/>
    </row>
    <row r="209" spans="1:7" s="5" customFormat="1" ht="12.75">
      <c r="A209" s="29">
        <f t="shared" si="7"/>
        <v>8.359999999999996</v>
      </c>
      <c r="B209" s="18" t="s">
        <v>231</v>
      </c>
      <c r="C209" s="19" t="s">
        <v>0</v>
      </c>
      <c r="D209" s="20">
        <v>2.550987</v>
      </c>
      <c r="E209" s="13"/>
      <c r="F209" s="13"/>
      <c r="G209" s="14"/>
    </row>
    <row r="210" spans="1:7" s="5" customFormat="1" ht="12.75">
      <c r="A210" s="29">
        <f t="shared" si="7"/>
        <v>8.369999999999996</v>
      </c>
      <c r="B210" s="18" t="s">
        <v>232</v>
      </c>
      <c r="C210" s="19" t="s">
        <v>0</v>
      </c>
      <c r="D210" s="20">
        <v>5.5854</v>
      </c>
      <c r="E210" s="13"/>
      <c r="F210" s="13"/>
      <c r="G210" s="14"/>
    </row>
    <row r="211" spans="1:7" s="5" customFormat="1" ht="12.75">
      <c r="A211" s="29">
        <f t="shared" si="7"/>
        <v>8.379999999999995</v>
      </c>
      <c r="B211" s="18" t="s">
        <v>233</v>
      </c>
      <c r="C211" s="19" t="s">
        <v>0</v>
      </c>
      <c r="D211" s="20">
        <v>3.00456</v>
      </c>
      <c r="E211" s="13"/>
      <c r="F211" s="13"/>
      <c r="G211" s="14"/>
    </row>
    <row r="212" spans="1:7" s="5" customFormat="1" ht="12.75">
      <c r="A212" s="29">
        <f t="shared" si="7"/>
        <v>8.389999999999995</v>
      </c>
      <c r="B212" s="18" t="s">
        <v>234</v>
      </c>
      <c r="C212" s="19" t="s">
        <v>0</v>
      </c>
      <c r="D212" s="20">
        <v>3.21</v>
      </c>
      <c r="E212" s="13"/>
      <c r="F212" s="13"/>
      <c r="G212" s="14"/>
    </row>
    <row r="213" spans="1:7" s="5" customFormat="1" ht="12.75">
      <c r="A213" s="29">
        <f t="shared" si="7"/>
        <v>8.399999999999995</v>
      </c>
      <c r="B213" s="18" t="s">
        <v>235</v>
      </c>
      <c r="C213" s="19" t="s">
        <v>0</v>
      </c>
      <c r="D213" s="20">
        <v>9.518292</v>
      </c>
      <c r="E213" s="13"/>
      <c r="F213" s="13"/>
      <c r="G213" s="14"/>
    </row>
    <row r="214" spans="1:7" s="5" customFormat="1" ht="12.75">
      <c r="A214" s="29">
        <f t="shared" si="7"/>
        <v>8.409999999999995</v>
      </c>
      <c r="B214" s="18" t="s">
        <v>236</v>
      </c>
      <c r="C214" s="19" t="s">
        <v>0</v>
      </c>
      <c r="D214" s="20">
        <v>8.638110000000001</v>
      </c>
      <c r="E214" s="13"/>
      <c r="F214" s="13"/>
      <c r="G214" s="14"/>
    </row>
    <row r="215" spans="1:7" s="5" customFormat="1" ht="12.75">
      <c r="A215" s="29">
        <f t="shared" si="7"/>
        <v>8.419999999999995</v>
      </c>
      <c r="B215" s="18" t="s">
        <v>237</v>
      </c>
      <c r="C215" s="19" t="s">
        <v>0</v>
      </c>
      <c r="D215" s="20">
        <v>0.25680000000000003</v>
      </c>
      <c r="E215" s="13"/>
      <c r="F215" s="13"/>
      <c r="G215" s="14"/>
    </row>
    <row r="216" spans="1:7" s="5" customFormat="1" ht="15">
      <c r="A216" s="29"/>
      <c r="B216" s="21" t="s">
        <v>238</v>
      </c>
      <c r="C216" s="19"/>
      <c r="D216" s="20"/>
      <c r="E216" s="13"/>
      <c r="F216" s="13"/>
      <c r="G216" s="14"/>
    </row>
    <row r="217" spans="1:7" s="5" customFormat="1" ht="12.75">
      <c r="A217" s="29">
        <v>8.43</v>
      </c>
      <c r="B217" s="18" t="s">
        <v>43</v>
      </c>
      <c r="C217" s="19" t="s">
        <v>10</v>
      </c>
      <c r="D217" s="20">
        <v>92.8546</v>
      </c>
      <c r="E217" s="13"/>
      <c r="F217" s="13"/>
      <c r="G217" s="14"/>
    </row>
    <row r="218" spans="1:7" s="5" customFormat="1" ht="12.75">
      <c r="A218" s="29">
        <f t="shared" si="7"/>
        <v>8.44</v>
      </c>
      <c r="B218" s="18" t="s">
        <v>105</v>
      </c>
      <c r="C218" s="19" t="s">
        <v>10</v>
      </c>
      <c r="D218" s="20">
        <v>339.49602000000004</v>
      </c>
      <c r="E218" s="13"/>
      <c r="F218" s="13"/>
      <c r="G218" s="14"/>
    </row>
    <row r="219" spans="1:7" s="5" customFormat="1" ht="12.75">
      <c r="A219" s="29">
        <f t="shared" si="7"/>
        <v>8.45</v>
      </c>
      <c r="B219" s="18" t="s">
        <v>132</v>
      </c>
      <c r="C219" s="19" t="s">
        <v>10</v>
      </c>
      <c r="D219" s="20">
        <v>102.72</v>
      </c>
      <c r="E219" s="13"/>
      <c r="F219" s="13"/>
      <c r="G219" s="14"/>
    </row>
    <row r="220" spans="1:7" s="5" customFormat="1" ht="15">
      <c r="A220" s="29"/>
      <c r="B220" s="21" t="s">
        <v>240</v>
      </c>
      <c r="C220" s="19"/>
      <c r="D220" s="20"/>
      <c r="E220" s="13"/>
      <c r="F220" s="13"/>
      <c r="G220" s="14"/>
    </row>
    <row r="221" spans="1:7" s="5" customFormat="1" ht="12.75">
      <c r="A221" s="29">
        <v>8.46</v>
      </c>
      <c r="B221" s="6" t="s">
        <v>289</v>
      </c>
      <c r="C221" s="19" t="s">
        <v>10</v>
      </c>
      <c r="D221" s="20">
        <v>138.918528</v>
      </c>
      <c r="E221" s="13"/>
      <c r="F221" s="13"/>
      <c r="G221" s="14"/>
    </row>
    <row r="222" spans="1:7" s="5" customFormat="1" ht="12.75">
      <c r="A222" s="29">
        <f t="shared" si="7"/>
        <v>8.47</v>
      </c>
      <c r="B222" s="18" t="s">
        <v>133</v>
      </c>
      <c r="C222" s="19" t="s">
        <v>11</v>
      </c>
      <c r="D222" s="20">
        <v>64.0181</v>
      </c>
      <c r="E222" s="13"/>
      <c r="F222" s="13"/>
      <c r="G222" s="14"/>
    </row>
    <row r="223" spans="1:7" s="5" customFormat="1" ht="12.75">
      <c r="A223" s="29">
        <f t="shared" si="7"/>
        <v>8.48</v>
      </c>
      <c r="B223" s="18" t="s">
        <v>239</v>
      </c>
      <c r="C223" s="19" t="s">
        <v>10</v>
      </c>
      <c r="D223" s="20">
        <v>138.918528</v>
      </c>
      <c r="E223" s="13"/>
      <c r="F223" s="13"/>
      <c r="G223" s="14"/>
    </row>
    <row r="224" spans="1:7" s="5" customFormat="1" ht="12.75">
      <c r="A224" s="29">
        <f t="shared" si="7"/>
        <v>8.49</v>
      </c>
      <c r="B224" s="18" t="s">
        <v>134</v>
      </c>
      <c r="C224" s="19" t="s">
        <v>11</v>
      </c>
      <c r="D224" s="20">
        <v>14.552</v>
      </c>
      <c r="E224" s="13"/>
      <c r="F224" s="13"/>
      <c r="G224" s="14"/>
    </row>
    <row r="225" spans="1:7" s="5" customFormat="1" ht="12.75">
      <c r="A225" s="29">
        <f t="shared" si="7"/>
        <v>8.5</v>
      </c>
      <c r="B225" s="18" t="s">
        <v>135</v>
      </c>
      <c r="C225" s="19" t="s">
        <v>118</v>
      </c>
      <c r="D225" s="20">
        <v>2.14</v>
      </c>
      <c r="E225" s="13"/>
      <c r="F225" s="13"/>
      <c r="G225" s="14"/>
    </row>
    <row r="226" spans="1:7" s="5" customFormat="1" ht="12.75">
      <c r="A226" s="29">
        <f t="shared" si="7"/>
        <v>8.51</v>
      </c>
      <c r="B226" s="18" t="s">
        <v>136</v>
      </c>
      <c r="C226" s="19" t="s">
        <v>118</v>
      </c>
      <c r="D226" s="20">
        <v>2.14</v>
      </c>
      <c r="E226" s="13"/>
      <c r="F226" s="13"/>
      <c r="G226" s="14"/>
    </row>
    <row r="227" spans="1:7" s="5" customFormat="1" ht="12.75">
      <c r="A227" s="29">
        <f t="shared" si="7"/>
        <v>8.52</v>
      </c>
      <c r="B227" s="26" t="s">
        <v>156</v>
      </c>
      <c r="C227" s="19"/>
      <c r="D227" s="20"/>
      <c r="E227" s="13"/>
      <c r="F227" s="13"/>
      <c r="G227" s="14"/>
    </row>
    <row r="228" spans="1:7" s="5" customFormat="1" ht="12.75">
      <c r="A228" s="29">
        <f t="shared" si="7"/>
        <v>8.53</v>
      </c>
      <c r="B228" s="18" t="s">
        <v>308</v>
      </c>
      <c r="C228" s="19" t="s">
        <v>157</v>
      </c>
      <c r="D228" s="20">
        <v>32699.542400000002</v>
      </c>
      <c r="E228" s="13"/>
      <c r="F228" s="13"/>
      <c r="G228" s="14"/>
    </row>
    <row r="229" spans="1:7" s="5" customFormat="1" ht="12.75">
      <c r="A229" s="29">
        <f t="shared" si="7"/>
        <v>8.54</v>
      </c>
      <c r="B229" s="18" t="s">
        <v>321</v>
      </c>
      <c r="C229" s="19" t="s">
        <v>10</v>
      </c>
      <c r="D229" s="20">
        <v>636.6500000000001</v>
      </c>
      <c r="E229" s="13"/>
      <c r="F229" s="13"/>
      <c r="G229" s="14"/>
    </row>
    <row r="230" spans="1:7" s="5" customFormat="1" ht="12.75">
      <c r="A230" s="29">
        <f t="shared" si="7"/>
        <v>8.549999999999999</v>
      </c>
      <c r="B230" s="18" t="s">
        <v>158</v>
      </c>
      <c r="C230" s="19" t="s">
        <v>10</v>
      </c>
      <c r="D230" s="20">
        <v>57.78</v>
      </c>
      <c r="E230" s="13"/>
      <c r="F230" s="13"/>
      <c r="G230" s="14"/>
    </row>
    <row r="231" spans="1:7" s="5" customFormat="1" ht="15">
      <c r="A231" s="29"/>
      <c r="B231" s="21" t="s">
        <v>241</v>
      </c>
      <c r="C231" s="19"/>
      <c r="D231" s="20"/>
      <c r="E231" s="13"/>
      <c r="F231" s="13"/>
      <c r="G231" s="14"/>
    </row>
    <row r="232" spans="1:7" s="5" customFormat="1" ht="12.75">
      <c r="A232" s="29">
        <v>8.56</v>
      </c>
      <c r="B232" s="18" t="s">
        <v>137</v>
      </c>
      <c r="C232" s="19" t="s">
        <v>10</v>
      </c>
      <c r="D232" s="20">
        <v>141.347</v>
      </c>
      <c r="E232" s="13"/>
      <c r="F232" s="13"/>
      <c r="G232" s="14"/>
    </row>
    <row r="233" spans="1:7" s="5" customFormat="1" ht="12.75">
      <c r="A233" s="29">
        <f t="shared" si="7"/>
        <v>8.57</v>
      </c>
      <c r="B233" s="18" t="s">
        <v>138</v>
      </c>
      <c r="C233" s="19" t="s">
        <v>10</v>
      </c>
      <c r="D233" s="20">
        <v>141.347</v>
      </c>
      <c r="E233" s="13"/>
      <c r="F233" s="13"/>
      <c r="G233" s="14"/>
    </row>
    <row r="234" spans="1:7" s="5" customFormat="1" ht="12.75">
      <c r="A234" s="29">
        <f t="shared" si="7"/>
        <v>8.58</v>
      </c>
      <c r="B234" s="18" t="s">
        <v>139</v>
      </c>
      <c r="C234" s="19" t="s">
        <v>10</v>
      </c>
      <c r="D234" s="20">
        <v>65.19296</v>
      </c>
      <c r="E234" s="13"/>
      <c r="F234" s="13"/>
      <c r="G234" s="14"/>
    </row>
    <row r="235" spans="1:7" s="5" customFormat="1" ht="12.75">
      <c r="A235" s="29">
        <f t="shared" si="7"/>
        <v>8.59</v>
      </c>
      <c r="B235" s="18" t="s">
        <v>140</v>
      </c>
      <c r="C235" s="19" t="s">
        <v>11</v>
      </c>
      <c r="D235" s="20">
        <v>441.91</v>
      </c>
      <c r="E235" s="13"/>
      <c r="F235" s="13"/>
      <c r="G235" s="14"/>
    </row>
    <row r="236" spans="1:7" s="5" customFormat="1" ht="12.75">
      <c r="A236" s="29">
        <f aca="true" t="shared" si="8" ref="A236:A308">+A235+0.01</f>
        <v>8.6</v>
      </c>
      <c r="B236" s="18" t="s">
        <v>141</v>
      </c>
      <c r="C236" s="19" t="s">
        <v>10</v>
      </c>
      <c r="D236" s="20">
        <v>47.181222000000005</v>
      </c>
      <c r="E236" s="13"/>
      <c r="F236" s="13"/>
      <c r="G236" s="14"/>
    </row>
    <row r="237" spans="1:7" s="5" customFormat="1" ht="12.75">
      <c r="A237" s="29">
        <f t="shared" si="8"/>
        <v>8.61</v>
      </c>
      <c r="B237" s="18" t="s">
        <v>142</v>
      </c>
      <c r="C237" s="19" t="s">
        <v>10</v>
      </c>
      <c r="D237" s="20">
        <v>425.3548316</v>
      </c>
      <c r="E237" s="13"/>
      <c r="F237" s="13"/>
      <c r="G237" s="14"/>
    </row>
    <row r="238" spans="1:7" s="5" customFormat="1" ht="12.75">
      <c r="A238" s="29">
        <f t="shared" si="8"/>
        <v>8.62</v>
      </c>
      <c r="B238" s="18" t="s">
        <v>309</v>
      </c>
      <c r="C238" s="19" t="s">
        <v>11</v>
      </c>
      <c r="D238" s="20">
        <v>124.12</v>
      </c>
      <c r="E238" s="13"/>
      <c r="F238" s="13"/>
      <c r="G238" s="14"/>
    </row>
    <row r="239" spans="1:7" s="5" customFormat="1" ht="15">
      <c r="A239" s="29"/>
      <c r="B239" s="21" t="s">
        <v>242</v>
      </c>
      <c r="C239" s="19"/>
      <c r="D239" s="20"/>
      <c r="E239" s="13"/>
      <c r="F239" s="13"/>
      <c r="G239" s="14"/>
    </row>
    <row r="240" spans="1:7" s="5" customFormat="1" ht="12.75">
      <c r="A240" s="29">
        <v>8.63</v>
      </c>
      <c r="B240" s="18" t="s">
        <v>143</v>
      </c>
      <c r="C240" s="19" t="s">
        <v>10</v>
      </c>
      <c r="D240" s="20">
        <v>208.49164000000002</v>
      </c>
      <c r="E240" s="13"/>
      <c r="F240" s="13"/>
      <c r="G240" s="14"/>
    </row>
    <row r="241" spans="1:7" s="5" customFormat="1" ht="15">
      <c r="A241" s="29"/>
      <c r="B241" s="21" t="s">
        <v>243</v>
      </c>
      <c r="C241" s="19"/>
      <c r="D241" s="20"/>
      <c r="E241" s="13"/>
      <c r="F241" s="13"/>
      <c r="G241" s="14"/>
    </row>
    <row r="242" spans="1:7" s="5" customFormat="1" ht="12.75">
      <c r="A242" s="29">
        <v>8.64</v>
      </c>
      <c r="B242" s="18" t="s">
        <v>244</v>
      </c>
      <c r="C242" s="19" t="s">
        <v>11</v>
      </c>
      <c r="D242" s="20">
        <v>5.85</v>
      </c>
      <c r="E242" s="13"/>
      <c r="F242" s="13"/>
      <c r="G242" s="14"/>
    </row>
    <row r="243" spans="1:7" s="5" customFormat="1" ht="12.75">
      <c r="A243" s="29">
        <f t="shared" si="8"/>
        <v>8.65</v>
      </c>
      <c r="B243" s="18" t="s">
        <v>144</v>
      </c>
      <c r="C243" s="19" t="s">
        <v>11</v>
      </c>
      <c r="D243" s="20">
        <v>7.2</v>
      </c>
      <c r="E243" s="13"/>
      <c r="F243" s="13"/>
      <c r="G243" s="14"/>
    </row>
    <row r="244" spans="1:7" s="5" customFormat="1" ht="25.5">
      <c r="A244" s="29">
        <f t="shared" si="8"/>
        <v>8.66</v>
      </c>
      <c r="B244" s="18" t="s">
        <v>145</v>
      </c>
      <c r="C244" s="19" t="s">
        <v>118</v>
      </c>
      <c r="D244" s="20">
        <v>4</v>
      </c>
      <c r="E244" s="13"/>
      <c r="F244" s="13"/>
      <c r="G244" s="14"/>
    </row>
    <row r="245" spans="1:7" s="5" customFormat="1" ht="25.5">
      <c r="A245" s="29">
        <f t="shared" si="8"/>
        <v>8.67</v>
      </c>
      <c r="B245" s="18" t="s">
        <v>146</v>
      </c>
      <c r="C245" s="19" t="s">
        <v>10</v>
      </c>
      <c r="D245" s="20">
        <v>32</v>
      </c>
      <c r="E245" s="13"/>
      <c r="F245" s="13"/>
      <c r="G245" s="14"/>
    </row>
    <row r="246" spans="1:7" s="5" customFormat="1" ht="12.75">
      <c r="A246" s="29">
        <f t="shared" si="8"/>
        <v>8.68</v>
      </c>
      <c r="B246" s="18" t="s">
        <v>147</v>
      </c>
      <c r="C246" s="19" t="s">
        <v>148</v>
      </c>
      <c r="D246" s="20">
        <v>1</v>
      </c>
      <c r="E246" s="13"/>
      <c r="F246" s="13"/>
      <c r="G246" s="14"/>
    </row>
    <row r="247" spans="1:7" s="5" customFormat="1" ht="15">
      <c r="A247" s="29"/>
      <c r="B247" s="21" t="s">
        <v>245</v>
      </c>
      <c r="C247" s="19"/>
      <c r="D247" s="20"/>
      <c r="E247" s="13"/>
      <c r="F247" s="13"/>
      <c r="G247" s="14"/>
    </row>
    <row r="248" spans="1:7" s="5" customFormat="1" ht="12.75">
      <c r="A248" s="29">
        <v>8.69</v>
      </c>
      <c r="B248" s="18" t="s">
        <v>246</v>
      </c>
      <c r="C248" s="19" t="s">
        <v>10</v>
      </c>
      <c r="D248" s="20">
        <v>729.83095</v>
      </c>
      <c r="E248" s="13"/>
      <c r="F248" s="13"/>
      <c r="G248" s="14"/>
    </row>
    <row r="249" spans="1:7" s="5" customFormat="1" ht="12.75">
      <c r="A249" s="29">
        <f t="shared" si="8"/>
        <v>8.7</v>
      </c>
      <c r="B249" s="18" t="s">
        <v>682</v>
      </c>
      <c r="C249" s="19" t="s">
        <v>10</v>
      </c>
      <c r="D249" s="20">
        <f>684.27035+47.8</f>
        <v>732.07035</v>
      </c>
      <c r="E249" s="13"/>
      <c r="F249" s="13"/>
      <c r="G249" s="14"/>
    </row>
    <row r="250" spans="1:7" s="5" customFormat="1" ht="12.75">
      <c r="A250" s="29">
        <f t="shared" si="8"/>
        <v>8.709999999999999</v>
      </c>
      <c r="B250" s="18" t="s">
        <v>683</v>
      </c>
      <c r="C250" s="19" t="s">
        <v>11</v>
      </c>
      <c r="D250" s="20">
        <f>146+8.5</f>
        <v>154.5</v>
      </c>
      <c r="E250" s="13"/>
      <c r="F250" s="13"/>
      <c r="G250" s="14"/>
    </row>
    <row r="251" spans="1:7" s="5" customFormat="1" ht="15">
      <c r="A251" s="29"/>
      <c r="B251" s="21" t="s">
        <v>255</v>
      </c>
      <c r="C251" s="19"/>
      <c r="D251" s="20"/>
      <c r="E251" s="13"/>
      <c r="F251" s="13"/>
      <c r="G251" s="14"/>
    </row>
    <row r="252" spans="1:7" s="5" customFormat="1" ht="12.75">
      <c r="A252" s="29">
        <v>8.74</v>
      </c>
      <c r="B252" s="18" t="s">
        <v>149</v>
      </c>
      <c r="C252" s="19" t="s">
        <v>148</v>
      </c>
      <c r="D252" s="20">
        <v>2</v>
      </c>
      <c r="E252" s="13"/>
      <c r="F252" s="13"/>
      <c r="G252" s="14"/>
    </row>
    <row r="253" spans="1:7" s="5" customFormat="1" ht="12.75">
      <c r="A253" s="29">
        <f t="shared" si="8"/>
        <v>8.75</v>
      </c>
      <c r="B253" s="18" t="s">
        <v>150</v>
      </c>
      <c r="C253" s="19" t="s">
        <v>118</v>
      </c>
      <c r="D253" s="20">
        <v>8</v>
      </c>
      <c r="E253" s="13"/>
      <c r="F253" s="13"/>
      <c r="G253" s="14"/>
    </row>
    <row r="254" spans="1:7" s="5" customFormat="1" ht="25.5">
      <c r="A254" s="29">
        <f t="shared" si="8"/>
        <v>8.76</v>
      </c>
      <c r="B254" s="18" t="s">
        <v>257</v>
      </c>
      <c r="C254" s="19" t="s">
        <v>0</v>
      </c>
      <c r="D254" s="20">
        <v>24.48</v>
      </c>
      <c r="E254" s="13"/>
      <c r="F254" s="13"/>
      <c r="G254" s="14"/>
    </row>
    <row r="255" spans="1:7" s="5" customFormat="1" ht="12.75">
      <c r="A255" s="29">
        <f t="shared" si="8"/>
        <v>8.77</v>
      </c>
      <c r="B255" s="18" t="s">
        <v>151</v>
      </c>
      <c r="C255" s="19" t="s">
        <v>11</v>
      </c>
      <c r="D255" s="20">
        <v>65.8</v>
      </c>
      <c r="E255" s="13"/>
      <c r="F255" s="13"/>
      <c r="G255" s="14"/>
    </row>
    <row r="256" spans="1:7" s="5" customFormat="1" ht="12.75">
      <c r="A256" s="29">
        <f t="shared" si="8"/>
        <v>8.78</v>
      </c>
      <c r="B256" s="18" t="s">
        <v>629</v>
      </c>
      <c r="C256" s="19" t="s">
        <v>11</v>
      </c>
      <c r="D256" s="20">
        <v>36.05</v>
      </c>
      <c r="E256" s="13"/>
      <c r="F256" s="13"/>
      <c r="G256" s="14"/>
    </row>
    <row r="257" spans="1:7" s="5" customFormat="1" ht="12.75">
      <c r="A257" s="29">
        <f t="shared" si="8"/>
        <v>8.79</v>
      </c>
      <c r="B257" s="18" t="s">
        <v>152</v>
      </c>
      <c r="C257" s="19" t="s">
        <v>11</v>
      </c>
      <c r="D257" s="20">
        <v>28</v>
      </c>
      <c r="E257" s="13"/>
      <c r="F257" s="13"/>
      <c r="G257" s="14"/>
    </row>
    <row r="258" spans="1:7" s="5" customFormat="1" ht="12.75">
      <c r="A258" s="29">
        <f t="shared" si="8"/>
        <v>8.799999999999999</v>
      </c>
      <c r="B258" s="18" t="s">
        <v>630</v>
      </c>
      <c r="C258" s="19" t="s">
        <v>11</v>
      </c>
      <c r="D258" s="20">
        <v>41.6</v>
      </c>
      <c r="E258" s="13"/>
      <c r="F258" s="13"/>
      <c r="G258" s="14"/>
    </row>
    <row r="259" spans="1:7" s="5" customFormat="1" ht="12.75">
      <c r="A259" s="29">
        <f t="shared" si="8"/>
        <v>8.809999999999999</v>
      </c>
      <c r="B259" s="18" t="s">
        <v>631</v>
      </c>
      <c r="C259" s="19" t="s">
        <v>11</v>
      </c>
      <c r="D259" s="20">
        <v>11</v>
      </c>
      <c r="E259" s="13"/>
      <c r="F259" s="13"/>
      <c r="G259" s="14"/>
    </row>
    <row r="260" spans="1:7" s="5" customFormat="1" ht="12.75">
      <c r="A260" s="29">
        <f t="shared" si="8"/>
        <v>8.819999999999999</v>
      </c>
      <c r="B260" s="18" t="s">
        <v>632</v>
      </c>
      <c r="C260" s="19" t="s">
        <v>11</v>
      </c>
      <c r="D260" s="20">
        <v>86.6</v>
      </c>
      <c r="E260" s="13"/>
      <c r="F260" s="13"/>
      <c r="G260" s="14"/>
    </row>
    <row r="261" spans="1:7" s="5" customFormat="1" ht="12.75">
      <c r="A261" s="29">
        <f t="shared" si="8"/>
        <v>8.829999999999998</v>
      </c>
      <c r="B261" s="18" t="s">
        <v>633</v>
      </c>
      <c r="C261" s="19" t="s">
        <v>11</v>
      </c>
      <c r="D261" s="20">
        <v>28.93</v>
      </c>
      <c r="E261" s="13"/>
      <c r="F261" s="13"/>
      <c r="G261" s="14"/>
    </row>
    <row r="262" spans="1:7" s="5" customFormat="1" ht="12.75">
      <c r="A262" s="29">
        <f t="shared" si="8"/>
        <v>8.839999999999998</v>
      </c>
      <c r="B262" s="18" t="s">
        <v>634</v>
      </c>
      <c r="C262" s="19" t="s">
        <v>11</v>
      </c>
      <c r="D262" s="20">
        <v>23.14</v>
      </c>
      <c r="E262" s="13"/>
      <c r="F262" s="13"/>
      <c r="G262" s="14"/>
    </row>
    <row r="263" spans="1:7" s="5" customFormat="1" ht="12.75">
      <c r="A263" s="29">
        <f t="shared" si="8"/>
        <v>8.849999999999998</v>
      </c>
      <c r="B263" s="18" t="s">
        <v>633</v>
      </c>
      <c r="C263" s="19" t="s">
        <v>11</v>
      </c>
      <c r="D263" s="20">
        <v>19.58</v>
      </c>
      <c r="E263" s="13"/>
      <c r="F263" s="13"/>
      <c r="G263" s="14"/>
    </row>
    <row r="264" spans="1:7" s="5" customFormat="1" ht="25.5">
      <c r="A264" s="29">
        <f t="shared" si="8"/>
        <v>8.859999999999998</v>
      </c>
      <c r="B264" s="18" t="s">
        <v>635</v>
      </c>
      <c r="C264" s="19" t="s">
        <v>11</v>
      </c>
      <c r="D264" s="20">
        <v>6.23</v>
      </c>
      <c r="E264" s="13"/>
      <c r="F264" s="13"/>
      <c r="G264" s="14"/>
    </row>
    <row r="265" spans="1:7" s="5" customFormat="1" ht="25.5">
      <c r="A265" s="29">
        <f t="shared" si="8"/>
        <v>8.869999999999997</v>
      </c>
      <c r="B265" s="18" t="s">
        <v>636</v>
      </c>
      <c r="C265" s="19" t="s">
        <v>11</v>
      </c>
      <c r="D265" s="20">
        <v>22.5</v>
      </c>
      <c r="E265" s="13"/>
      <c r="F265" s="13"/>
      <c r="G265" s="14"/>
    </row>
    <row r="266" spans="1:7" s="5" customFormat="1" ht="25.5">
      <c r="A266" s="29">
        <f t="shared" si="8"/>
        <v>8.879999999999997</v>
      </c>
      <c r="B266" s="18" t="s">
        <v>637</v>
      </c>
      <c r="C266" s="19" t="s">
        <v>638</v>
      </c>
      <c r="D266" s="20">
        <v>1</v>
      </c>
      <c r="E266" s="13"/>
      <c r="F266" s="13"/>
      <c r="G266" s="14"/>
    </row>
    <row r="267" spans="1:7" s="5" customFormat="1" ht="12.75">
      <c r="A267" s="29">
        <f t="shared" si="8"/>
        <v>8.889999999999997</v>
      </c>
      <c r="B267" s="18" t="s">
        <v>639</v>
      </c>
      <c r="C267" s="19" t="s">
        <v>11</v>
      </c>
      <c r="D267" s="20">
        <v>4.5</v>
      </c>
      <c r="E267" s="13"/>
      <c r="F267" s="13"/>
      <c r="G267" s="14"/>
    </row>
    <row r="268" spans="1:7" s="5" customFormat="1" ht="12.75">
      <c r="A268" s="29">
        <f t="shared" si="8"/>
        <v>8.899999999999997</v>
      </c>
      <c r="B268" s="18" t="s">
        <v>640</v>
      </c>
      <c r="C268" s="19" t="s">
        <v>11</v>
      </c>
      <c r="D268" s="20">
        <v>5.8</v>
      </c>
      <c r="E268" s="13"/>
      <c r="F268" s="13"/>
      <c r="G268" s="14"/>
    </row>
    <row r="269" spans="1:7" s="5" customFormat="1" ht="12.75">
      <c r="A269" s="29">
        <f t="shared" si="8"/>
        <v>8.909999999999997</v>
      </c>
      <c r="B269" s="18" t="s">
        <v>641</v>
      </c>
      <c r="C269" s="19" t="s">
        <v>11</v>
      </c>
      <c r="D269" s="20">
        <v>16.2</v>
      </c>
      <c r="E269" s="13"/>
      <c r="F269" s="13"/>
      <c r="G269" s="14"/>
    </row>
    <row r="270" spans="1:7" s="5" customFormat="1" ht="12.75">
      <c r="A270" s="29">
        <f t="shared" si="8"/>
        <v>8.919999999999996</v>
      </c>
      <c r="B270" s="18" t="s">
        <v>642</v>
      </c>
      <c r="C270" s="19" t="s">
        <v>638</v>
      </c>
      <c r="D270" s="20">
        <v>2</v>
      </c>
      <c r="E270" s="13"/>
      <c r="F270" s="13"/>
      <c r="G270" s="14"/>
    </row>
    <row r="271" spans="1:7" s="5" customFormat="1" ht="12.75">
      <c r="A271" s="29">
        <f t="shared" si="8"/>
        <v>8.929999999999996</v>
      </c>
      <c r="B271" s="18" t="s">
        <v>643</v>
      </c>
      <c r="C271" s="19" t="s">
        <v>11</v>
      </c>
      <c r="D271" s="20">
        <v>12.1</v>
      </c>
      <c r="E271" s="13"/>
      <c r="F271" s="13"/>
      <c r="G271" s="14"/>
    </row>
    <row r="272" spans="1:7" s="5" customFormat="1" ht="12.75">
      <c r="A272" s="29">
        <f t="shared" si="8"/>
        <v>8.939999999999996</v>
      </c>
      <c r="B272" s="18" t="s">
        <v>644</v>
      </c>
      <c r="C272" s="19" t="s">
        <v>638</v>
      </c>
      <c r="D272" s="20">
        <v>1</v>
      </c>
      <c r="E272" s="13"/>
      <c r="F272" s="13"/>
      <c r="G272" s="14"/>
    </row>
    <row r="273" spans="1:7" s="5" customFormat="1" ht="12.75">
      <c r="A273" s="29">
        <f t="shared" si="8"/>
        <v>8.949999999999996</v>
      </c>
      <c r="B273" s="18" t="s">
        <v>645</v>
      </c>
      <c r="C273" s="19" t="s">
        <v>638</v>
      </c>
      <c r="D273" s="20">
        <v>6</v>
      </c>
      <c r="E273" s="13"/>
      <c r="F273" s="13"/>
      <c r="G273" s="14"/>
    </row>
    <row r="274" spans="1:7" s="5" customFormat="1" ht="12.75">
      <c r="A274" s="29">
        <f t="shared" si="8"/>
        <v>8.959999999999996</v>
      </c>
      <c r="B274" s="18" t="s">
        <v>646</v>
      </c>
      <c r="C274" s="19" t="s">
        <v>638</v>
      </c>
      <c r="D274" s="20">
        <v>2</v>
      </c>
      <c r="E274" s="13"/>
      <c r="F274" s="13"/>
      <c r="G274" s="14"/>
    </row>
    <row r="275" spans="1:7" s="5" customFormat="1" ht="12.75">
      <c r="A275" s="29">
        <f t="shared" si="8"/>
        <v>8.969999999999995</v>
      </c>
      <c r="B275" s="18" t="s">
        <v>647</v>
      </c>
      <c r="C275" s="19" t="s">
        <v>11</v>
      </c>
      <c r="D275" s="20">
        <v>4</v>
      </c>
      <c r="E275" s="13"/>
      <c r="F275" s="13"/>
      <c r="G275" s="14"/>
    </row>
    <row r="276" spans="1:7" s="5" customFormat="1" ht="12.75">
      <c r="A276" s="29">
        <f t="shared" si="8"/>
        <v>8.979999999999995</v>
      </c>
      <c r="B276" s="18" t="s">
        <v>648</v>
      </c>
      <c r="C276" s="19" t="s">
        <v>11</v>
      </c>
      <c r="D276" s="20">
        <v>10</v>
      </c>
      <c r="E276" s="13"/>
      <c r="F276" s="13"/>
      <c r="G276" s="14"/>
    </row>
    <row r="277" spans="1:7" s="5" customFormat="1" ht="12.75">
      <c r="A277" s="29">
        <f t="shared" si="8"/>
        <v>8.989999999999995</v>
      </c>
      <c r="B277" s="18" t="s">
        <v>649</v>
      </c>
      <c r="C277" s="19" t="s">
        <v>11</v>
      </c>
      <c r="D277" s="20">
        <v>5</v>
      </c>
      <c r="E277" s="13"/>
      <c r="F277" s="13"/>
      <c r="G277" s="14"/>
    </row>
    <row r="278" spans="1:7" s="5" customFormat="1" ht="12.75">
      <c r="A278" s="29">
        <f t="shared" si="8"/>
        <v>8.999999999999995</v>
      </c>
      <c r="B278" s="18" t="s">
        <v>650</v>
      </c>
      <c r="C278" s="19" t="s">
        <v>638</v>
      </c>
      <c r="D278" s="20">
        <v>2</v>
      </c>
      <c r="E278" s="13"/>
      <c r="F278" s="13"/>
      <c r="G278" s="14"/>
    </row>
    <row r="279" spans="1:7" s="5" customFormat="1" ht="12.75">
      <c r="A279" s="29">
        <f t="shared" si="8"/>
        <v>9.009999999999994</v>
      </c>
      <c r="B279" s="18" t="s">
        <v>651</v>
      </c>
      <c r="C279" s="19" t="s">
        <v>638</v>
      </c>
      <c r="D279" s="20">
        <v>1</v>
      </c>
      <c r="E279" s="13"/>
      <c r="F279" s="13"/>
      <c r="G279" s="14"/>
    </row>
    <row r="280" spans="1:7" s="5" customFormat="1" ht="12.75">
      <c r="A280" s="29">
        <f t="shared" si="8"/>
        <v>9.019999999999994</v>
      </c>
      <c r="B280" s="18" t="s">
        <v>652</v>
      </c>
      <c r="C280" s="19" t="s">
        <v>638</v>
      </c>
      <c r="D280" s="20">
        <v>2</v>
      </c>
      <c r="E280" s="13"/>
      <c r="F280" s="13"/>
      <c r="G280" s="14"/>
    </row>
    <row r="281" spans="1:7" s="5" customFormat="1" ht="12.75">
      <c r="A281" s="29">
        <f t="shared" si="8"/>
        <v>9.029999999999994</v>
      </c>
      <c r="B281" s="18" t="s">
        <v>653</v>
      </c>
      <c r="C281" s="19" t="s">
        <v>638</v>
      </c>
      <c r="D281" s="20">
        <v>1</v>
      </c>
      <c r="E281" s="13"/>
      <c r="F281" s="13"/>
      <c r="G281" s="14"/>
    </row>
    <row r="282" spans="1:7" s="5" customFormat="1" ht="12.75">
      <c r="A282" s="29">
        <f t="shared" si="8"/>
        <v>9.039999999999994</v>
      </c>
      <c r="B282" s="18" t="s">
        <v>654</v>
      </c>
      <c r="C282" s="19" t="s">
        <v>655</v>
      </c>
      <c r="D282" s="20">
        <v>1</v>
      </c>
      <c r="E282" s="13"/>
      <c r="F282" s="13"/>
      <c r="G282" s="14"/>
    </row>
    <row r="283" spans="1:7" s="5" customFormat="1" ht="12.75">
      <c r="A283" s="29">
        <f t="shared" si="8"/>
        <v>9.049999999999994</v>
      </c>
      <c r="B283" s="18" t="s">
        <v>656</v>
      </c>
      <c r="C283" s="19" t="s">
        <v>655</v>
      </c>
      <c r="D283" s="20">
        <v>1</v>
      </c>
      <c r="E283" s="13"/>
      <c r="F283" s="13"/>
      <c r="G283" s="14"/>
    </row>
    <row r="284" spans="1:7" s="5" customFormat="1" ht="12.75">
      <c r="A284" s="29">
        <f t="shared" si="8"/>
        <v>9.059999999999993</v>
      </c>
      <c r="B284" s="18" t="s">
        <v>657</v>
      </c>
      <c r="C284" s="19" t="s">
        <v>655</v>
      </c>
      <c r="D284" s="20">
        <v>1</v>
      </c>
      <c r="E284" s="13"/>
      <c r="F284" s="13"/>
      <c r="G284" s="14"/>
    </row>
    <row r="285" spans="1:7" s="5" customFormat="1" ht="12.75">
      <c r="A285" s="29">
        <f t="shared" si="8"/>
        <v>9.069999999999993</v>
      </c>
      <c r="B285" s="18" t="s">
        <v>658</v>
      </c>
      <c r="C285" s="19" t="s">
        <v>655</v>
      </c>
      <c r="D285" s="20">
        <v>1</v>
      </c>
      <c r="E285" s="13"/>
      <c r="F285" s="13"/>
      <c r="G285" s="14"/>
    </row>
    <row r="286" spans="1:7" s="5" customFormat="1" ht="12.75">
      <c r="A286" s="29">
        <f t="shared" si="8"/>
        <v>9.079999999999993</v>
      </c>
      <c r="B286" s="18" t="s">
        <v>659</v>
      </c>
      <c r="C286" s="19" t="s">
        <v>638</v>
      </c>
      <c r="D286" s="20">
        <v>2</v>
      </c>
      <c r="E286" s="13"/>
      <c r="F286" s="13"/>
      <c r="G286" s="14"/>
    </row>
    <row r="287" spans="1:7" s="5" customFormat="1" ht="12.75">
      <c r="A287" s="29">
        <f t="shared" si="8"/>
        <v>9.089999999999993</v>
      </c>
      <c r="B287" s="18" t="s">
        <v>660</v>
      </c>
      <c r="C287" s="19" t="s">
        <v>638</v>
      </c>
      <c r="D287" s="20">
        <v>1</v>
      </c>
      <c r="E287" s="13"/>
      <c r="F287" s="13"/>
      <c r="G287" s="14"/>
    </row>
    <row r="288" spans="1:7" s="5" customFormat="1" ht="12.75">
      <c r="A288" s="29">
        <f>+A263+0.01</f>
        <v>8.859999999999998</v>
      </c>
      <c r="B288" s="18" t="s">
        <v>253</v>
      </c>
      <c r="C288" s="19" t="s">
        <v>148</v>
      </c>
      <c r="D288" s="20">
        <v>2</v>
      </c>
      <c r="E288" s="13"/>
      <c r="F288" s="13"/>
      <c r="G288" s="14"/>
    </row>
    <row r="289" spans="1:7" s="5" customFormat="1" ht="12.75">
      <c r="A289" s="29">
        <f t="shared" si="8"/>
        <v>8.869999999999997</v>
      </c>
      <c r="B289" s="18" t="s">
        <v>153</v>
      </c>
      <c r="C289" s="19" t="s">
        <v>118</v>
      </c>
      <c r="D289" s="20">
        <v>6</v>
      </c>
      <c r="E289" s="13"/>
      <c r="F289" s="13"/>
      <c r="G289" s="14"/>
    </row>
    <row r="290" spans="1:7" s="5" customFormat="1" ht="12.75">
      <c r="A290" s="29">
        <f t="shared" si="8"/>
        <v>8.879999999999997</v>
      </c>
      <c r="B290" s="18" t="s">
        <v>154</v>
      </c>
      <c r="C290" s="19" t="s">
        <v>118</v>
      </c>
      <c r="D290" s="20">
        <v>6</v>
      </c>
      <c r="E290" s="13"/>
      <c r="F290" s="13"/>
      <c r="G290" s="14"/>
    </row>
    <row r="291" spans="1:7" s="5" customFormat="1" ht="12.75">
      <c r="A291" s="29">
        <f t="shared" si="8"/>
        <v>8.889999999999997</v>
      </c>
      <c r="B291" s="18" t="s">
        <v>155</v>
      </c>
      <c r="C291" s="19" t="s">
        <v>148</v>
      </c>
      <c r="D291" s="20">
        <v>1</v>
      </c>
      <c r="E291" s="13"/>
      <c r="F291" s="13"/>
      <c r="G291" s="14"/>
    </row>
    <row r="292" spans="1:7" s="5" customFormat="1" ht="25.5">
      <c r="A292" s="29">
        <f t="shared" si="8"/>
        <v>8.899999999999997</v>
      </c>
      <c r="B292" s="18" t="s">
        <v>254</v>
      </c>
      <c r="C292" s="19" t="s">
        <v>148</v>
      </c>
      <c r="D292" s="20">
        <v>1</v>
      </c>
      <c r="E292" s="13"/>
      <c r="F292" s="13"/>
      <c r="G292" s="14"/>
    </row>
    <row r="293" spans="1:7" s="5" customFormat="1" ht="12.75">
      <c r="A293" s="29">
        <f t="shared" si="8"/>
        <v>8.909999999999997</v>
      </c>
      <c r="B293" s="18" t="s">
        <v>310</v>
      </c>
      <c r="C293" s="19" t="s">
        <v>11</v>
      </c>
      <c r="D293" s="20">
        <v>18</v>
      </c>
      <c r="E293" s="13"/>
      <c r="F293" s="13"/>
      <c r="G293" s="14"/>
    </row>
    <row r="294" spans="1:7" s="5" customFormat="1" ht="15">
      <c r="A294" s="29"/>
      <c r="B294" s="21" t="s">
        <v>256</v>
      </c>
      <c r="C294" s="23"/>
      <c r="D294" s="10"/>
      <c r="E294" s="13"/>
      <c r="F294" s="13"/>
      <c r="G294" s="14"/>
    </row>
    <row r="295" spans="1:7" s="5" customFormat="1" ht="25.5">
      <c r="A295" s="29">
        <v>8.87</v>
      </c>
      <c r="B295" s="18" t="s">
        <v>201</v>
      </c>
      <c r="C295" s="19" t="s">
        <v>159</v>
      </c>
      <c r="D295" s="20">
        <v>713.65030728</v>
      </c>
      <c r="E295" s="13"/>
      <c r="F295" s="13"/>
      <c r="G295" s="14"/>
    </row>
    <row r="296" spans="1:7" s="5" customFormat="1" ht="12.75">
      <c r="A296" s="29">
        <f t="shared" si="8"/>
        <v>8.879999999999999</v>
      </c>
      <c r="B296" s="18" t="s">
        <v>556</v>
      </c>
      <c r="C296" s="19" t="s">
        <v>13</v>
      </c>
      <c r="D296" s="20">
        <v>6</v>
      </c>
      <c r="E296" s="13"/>
      <c r="F296" s="13"/>
      <c r="G296" s="14"/>
    </row>
    <row r="297" spans="1:7" s="5" customFormat="1" ht="12.75">
      <c r="A297" s="29">
        <f t="shared" si="8"/>
        <v>8.889999999999999</v>
      </c>
      <c r="B297" s="18" t="s">
        <v>557</v>
      </c>
      <c r="C297" s="19" t="s">
        <v>13</v>
      </c>
      <c r="D297" s="20">
        <v>2</v>
      </c>
      <c r="E297" s="13"/>
      <c r="F297" s="13"/>
      <c r="G297" s="14"/>
    </row>
    <row r="298" spans="1:7" s="5" customFormat="1" ht="12.75">
      <c r="A298" s="29">
        <f t="shared" si="8"/>
        <v>8.899999999999999</v>
      </c>
      <c r="B298" s="18" t="s">
        <v>160</v>
      </c>
      <c r="C298" s="19" t="s">
        <v>13</v>
      </c>
      <c r="D298" s="20">
        <v>3</v>
      </c>
      <c r="E298" s="13"/>
      <c r="F298" s="13"/>
      <c r="G298" s="14"/>
    </row>
    <row r="299" spans="1:7" s="5" customFormat="1" ht="12.75">
      <c r="A299" s="29">
        <f t="shared" si="8"/>
        <v>8.909999999999998</v>
      </c>
      <c r="B299" s="18" t="s">
        <v>161</v>
      </c>
      <c r="C299" s="19" t="s">
        <v>13</v>
      </c>
      <c r="D299" s="20">
        <v>1</v>
      </c>
      <c r="E299" s="13"/>
      <c r="F299" s="13"/>
      <c r="G299" s="14"/>
    </row>
    <row r="300" spans="1:7" s="5" customFormat="1" ht="12.75">
      <c r="A300" s="29">
        <f t="shared" si="8"/>
        <v>8.919999999999998</v>
      </c>
      <c r="B300" s="18" t="s">
        <v>558</v>
      </c>
      <c r="C300" s="19" t="s">
        <v>148</v>
      </c>
      <c r="D300" s="20">
        <v>1</v>
      </c>
      <c r="E300" s="13"/>
      <c r="F300" s="13"/>
      <c r="G300" s="14"/>
    </row>
    <row r="301" spans="1:7" s="5" customFormat="1" ht="12.75">
      <c r="A301" s="29">
        <f t="shared" si="8"/>
        <v>8.929999999999998</v>
      </c>
      <c r="B301" s="18" t="s">
        <v>314</v>
      </c>
      <c r="C301" s="19" t="s">
        <v>13</v>
      </c>
      <c r="D301" s="20">
        <v>1</v>
      </c>
      <c r="E301" s="13"/>
      <c r="F301" s="13"/>
      <c r="G301" s="14"/>
    </row>
    <row r="302" spans="1:7" s="5" customFormat="1" ht="12.75">
      <c r="A302" s="29">
        <f t="shared" si="8"/>
        <v>8.939999999999998</v>
      </c>
      <c r="B302" s="18" t="s">
        <v>315</v>
      </c>
      <c r="C302" s="19" t="s">
        <v>13</v>
      </c>
      <c r="D302" s="20">
        <v>1</v>
      </c>
      <c r="E302" s="13"/>
      <c r="F302" s="13"/>
      <c r="G302" s="14"/>
    </row>
    <row r="303" spans="1:7" s="5" customFormat="1" ht="12.75">
      <c r="A303" s="29">
        <f t="shared" si="8"/>
        <v>8.949999999999998</v>
      </c>
      <c r="B303" s="18" t="s">
        <v>559</v>
      </c>
      <c r="C303" s="19" t="s">
        <v>27</v>
      </c>
      <c r="D303" s="20">
        <v>15</v>
      </c>
      <c r="E303" s="13"/>
      <c r="F303" s="13"/>
      <c r="G303" s="14"/>
    </row>
    <row r="304" spans="1:7" s="5" customFormat="1" ht="25.5">
      <c r="A304" s="29">
        <f t="shared" si="8"/>
        <v>8.959999999999997</v>
      </c>
      <c r="B304" s="18" t="s">
        <v>163</v>
      </c>
      <c r="C304" s="19" t="s">
        <v>164</v>
      </c>
      <c r="D304" s="20">
        <v>699.6623000000001</v>
      </c>
      <c r="E304" s="13"/>
      <c r="F304" s="13"/>
      <c r="G304" s="14"/>
    </row>
    <row r="305" spans="1:7" s="5" customFormat="1" ht="12.75">
      <c r="A305" s="29">
        <f t="shared" si="8"/>
        <v>8.969999999999997</v>
      </c>
      <c r="B305" s="18" t="s">
        <v>560</v>
      </c>
      <c r="C305" s="19" t="s">
        <v>13</v>
      </c>
      <c r="D305" s="20">
        <v>14</v>
      </c>
      <c r="E305" s="13"/>
      <c r="F305" s="13"/>
      <c r="G305" s="14"/>
    </row>
    <row r="306" spans="1:7" s="5" customFormat="1" ht="15">
      <c r="A306" s="29"/>
      <c r="B306" s="21" t="s">
        <v>203</v>
      </c>
      <c r="C306" s="19"/>
      <c r="D306" s="20"/>
      <c r="E306" s="13"/>
      <c r="F306" s="13"/>
      <c r="G306" s="14"/>
    </row>
    <row r="307" spans="1:7" s="5" customFormat="1" ht="12.75">
      <c r="A307" s="29">
        <v>8.98</v>
      </c>
      <c r="B307" s="18" t="s">
        <v>258</v>
      </c>
      <c r="C307" s="19" t="s">
        <v>0</v>
      </c>
      <c r="D307" s="20">
        <v>26.2</v>
      </c>
      <c r="E307" s="13"/>
      <c r="F307" s="13"/>
      <c r="G307" s="14"/>
    </row>
    <row r="308" spans="1:7" s="5" customFormat="1" ht="12.75">
      <c r="A308" s="29">
        <f t="shared" si="8"/>
        <v>8.99</v>
      </c>
      <c r="B308" s="18" t="s">
        <v>165</v>
      </c>
      <c r="C308" s="19" t="s">
        <v>0</v>
      </c>
      <c r="D308" s="20">
        <v>12.22</v>
      </c>
      <c r="E308" s="13"/>
      <c r="F308" s="13"/>
      <c r="G308" s="14"/>
    </row>
    <row r="309" spans="1:7" s="5" customFormat="1" ht="12.75">
      <c r="A309" s="29">
        <v>8.1</v>
      </c>
      <c r="B309" s="18" t="s">
        <v>166</v>
      </c>
      <c r="C309" s="19" t="s">
        <v>10</v>
      </c>
      <c r="D309" s="20">
        <f>120.4*0.4</f>
        <v>48.160000000000004</v>
      </c>
      <c r="E309" s="13"/>
      <c r="F309" s="13"/>
      <c r="G309" s="14"/>
    </row>
    <row r="310" spans="1:7" s="5" customFormat="1" ht="12.75">
      <c r="A310" s="29">
        <v>8.101</v>
      </c>
      <c r="B310" s="18" t="s">
        <v>167</v>
      </c>
      <c r="C310" s="19" t="s">
        <v>10</v>
      </c>
      <c r="D310" s="20">
        <v>263.88</v>
      </c>
      <c r="E310" s="13"/>
      <c r="F310" s="13"/>
      <c r="G310" s="14"/>
    </row>
    <row r="311" spans="1:7" s="5" customFormat="1" ht="15">
      <c r="A311" s="29"/>
      <c r="B311" s="21" t="s">
        <v>168</v>
      </c>
      <c r="C311" s="19"/>
      <c r="D311" s="20"/>
      <c r="E311" s="13"/>
      <c r="F311" s="13"/>
      <c r="G311" s="14"/>
    </row>
    <row r="312" spans="1:7" s="5" customFormat="1" ht="12.75">
      <c r="A312" s="29">
        <v>8.102</v>
      </c>
      <c r="B312" s="18" t="s">
        <v>258</v>
      </c>
      <c r="C312" s="19" t="s">
        <v>0</v>
      </c>
      <c r="D312" s="20">
        <v>82.4</v>
      </c>
      <c r="E312" s="13"/>
      <c r="F312" s="13"/>
      <c r="G312" s="14"/>
    </row>
    <row r="313" spans="1:7" s="5" customFormat="1" ht="12.75">
      <c r="A313" s="29">
        <v>8.103</v>
      </c>
      <c r="B313" s="18" t="s">
        <v>165</v>
      </c>
      <c r="C313" s="19" t="s">
        <v>0</v>
      </c>
      <c r="D313" s="20">
        <v>14.832</v>
      </c>
      <c r="E313" s="13"/>
      <c r="F313" s="13"/>
      <c r="G313" s="14"/>
    </row>
    <row r="314" spans="1:7" s="5" customFormat="1" ht="12.75">
      <c r="A314" s="29">
        <f>+A313+0.001</f>
        <v>8.104</v>
      </c>
      <c r="B314" s="18" t="s">
        <v>166</v>
      </c>
      <c r="C314" s="19" t="s">
        <v>10</v>
      </c>
      <c r="D314" s="20">
        <v>32.96</v>
      </c>
      <c r="E314" s="13"/>
      <c r="F314" s="13"/>
      <c r="G314" s="14"/>
    </row>
    <row r="315" spans="1:7" s="5" customFormat="1" ht="12.75">
      <c r="A315" s="29">
        <f aca="true" t="shared" si="9" ref="A315:A347">+A314+0.001</f>
        <v>8.104999999999999</v>
      </c>
      <c r="B315" s="18" t="s">
        <v>167</v>
      </c>
      <c r="C315" s="19" t="s">
        <v>10</v>
      </c>
      <c r="D315" s="20">
        <v>415</v>
      </c>
      <c r="E315" s="13"/>
      <c r="F315" s="13"/>
      <c r="G315" s="14"/>
    </row>
    <row r="316" spans="1:7" s="5" customFormat="1" ht="15">
      <c r="A316" s="29"/>
      <c r="B316" s="21" t="s">
        <v>204</v>
      </c>
      <c r="C316" s="19"/>
      <c r="D316" s="20"/>
      <c r="E316" s="13"/>
      <c r="F316" s="13"/>
      <c r="G316" s="14"/>
    </row>
    <row r="317" spans="1:7" s="5" customFormat="1" ht="12.75">
      <c r="A317" s="29">
        <v>8.106</v>
      </c>
      <c r="B317" s="18" t="s">
        <v>259</v>
      </c>
      <c r="C317" s="19" t="s">
        <v>13</v>
      </c>
      <c r="D317" s="20">
        <v>3</v>
      </c>
      <c r="E317" s="13"/>
      <c r="F317" s="13"/>
      <c r="G317" s="14"/>
    </row>
    <row r="318" spans="1:7" s="5" customFormat="1" ht="12.75">
      <c r="A318" s="29">
        <v>8.107</v>
      </c>
      <c r="B318" s="18" t="s">
        <v>169</v>
      </c>
      <c r="C318" s="19" t="s">
        <v>148</v>
      </c>
      <c r="D318" s="20">
        <v>8</v>
      </c>
      <c r="E318" s="13"/>
      <c r="F318" s="13"/>
      <c r="G318" s="14"/>
    </row>
    <row r="319" spans="1:7" s="5" customFormat="1" ht="15">
      <c r="A319" s="29"/>
      <c r="B319" s="21" t="s">
        <v>175</v>
      </c>
      <c r="C319" s="19"/>
      <c r="D319" s="20"/>
      <c r="E319" s="13"/>
      <c r="F319" s="13"/>
      <c r="G319" s="14"/>
    </row>
    <row r="320" spans="1:7" s="5" customFormat="1" ht="51">
      <c r="A320" s="29">
        <v>8.108</v>
      </c>
      <c r="B320" s="18" t="s">
        <v>176</v>
      </c>
      <c r="C320" s="19" t="s">
        <v>177</v>
      </c>
      <c r="D320" s="20">
        <v>23</v>
      </c>
      <c r="E320" s="13"/>
      <c r="F320" s="13"/>
      <c r="G320" s="14"/>
    </row>
    <row r="321" spans="1:7" s="5" customFormat="1" ht="51">
      <c r="A321" s="29">
        <f t="shared" si="9"/>
        <v>8.109</v>
      </c>
      <c r="B321" s="18" t="s">
        <v>178</v>
      </c>
      <c r="C321" s="19" t="s">
        <v>177</v>
      </c>
      <c r="D321" s="20">
        <v>4</v>
      </c>
      <c r="E321" s="13"/>
      <c r="F321" s="13"/>
      <c r="G321" s="14"/>
    </row>
    <row r="322" spans="1:7" s="5" customFormat="1" ht="51">
      <c r="A322" s="29">
        <f t="shared" si="9"/>
        <v>8.11</v>
      </c>
      <c r="B322" s="18" t="s">
        <v>179</v>
      </c>
      <c r="C322" s="19" t="s">
        <v>177</v>
      </c>
      <c r="D322" s="20">
        <v>53</v>
      </c>
      <c r="E322" s="13"/>
      <c r="F322" s="13"/>
      <c r="G322" s="14"/>
    </row>
    <row r="323" spans="1:7" s="5" customFormat="1" ht="51">
      <c r="A323" s="29">
        <f t="shared" si="9"/>
        <v>8.110999999999999</v>
      </c>
      <c r="B323" s="18" t="s">
        <v>180</v>
      </c>
      <c r="C323" s="19" t="s">
        <v>177</v>
      </c>
      <c r="D323" s="20">
        <v>53</v>
      </c>
      <c r="E323" s="13"/>
      <c r="F323" s="13"/>
      <c r="G323" s="14"/>
    </row>
    <row r="324" spans="1:7" s="5" customFormat="1" ht="51">
      <c r="A324" s="29">
        <f t="shared" si="9"/>
        <v>8.111999999999998</v>
      </c>
      <c r="B324" s="18" t="s">
        <v>181</v>
      </c>
      <c r="C324" s="19" t="s">
        <v>177</v>
      </c>
      <c r="D324" s="20">
        <v>6</v>
      </c>
      <c r="E324" s="13"/>
      <c r="F324" s="13"/>
      <c r="G324" s="14"/>
    </row>
    <row r="325" spans="1:7" s="5" customFormat="1" ht="51">
      <c r="A325" s="29">
        <f t="shared" si="9"/>
        <v>8.112999999999998</v>
      </c>
      <c r="B325" s="18" t="s">
        <v>182</v>
      </c>
      <c r="C325" s="19" t="s">
        <v>177</v>
      </c>
      <c r="D325" s="20">
        <v>13</v>
      </c>
      <c r="E325" s="13"/>
      <c r="F325" s="13"/>
      <c r="G325" s="14"/>
    </row>
    <row r="326" spans="1:7" s="5" customFormat="1" ht="51">
      <c r="A326" s="29">
        <f t="shared" si="9"/>
        <v>8.113999999999997</v>
      </c>
      <c r="B326" s="18" t="s">
        <v>183</v>
      </c>
      <c r="C326" s="19" t="s">
        <v>177</v>
      </c>
      <c r="D326" s="20">
        <v>1</v>
      </c>
      <c r="E326" s="13"/>
      <c r="F326" s="13"/>
      <c r="G326" s="14"/>
    </row>
    <row r="327" spans="1:7" s="5" customFormat="1" ht="63.75">
      <c r="A327" s="29">
        <f t="shared" si="9"/>
        <v>8.114999999999997</v>
      </c>
      <c r="B327" s="18" t="s">
        <v>184</v>
      </c>
      <c r="C327" s="19" t="s">
        <v>177</v>
      </c>
      <c r="D327" s="20">
        <v>4</v>
      </c>
      <c r="E327" s="13"/>
      <c r="F327" s="13"/>
      <c r="G327" s="14"/>
    </row>
    <row r="328" spans="1:7" s="5" customFormat="1" ht="63.75">
      <c r="A328" s="29">
        <f t="shared" si="9"/>
        <v>8.115999999999996</v>
      </c>
      <c r="B328" s="18" t="s">
        <v>185</v>
      </c>
      <c r="C328" s="19" t="s">
        <v>177</v>
      </c>
      <c r="D328" s="20">
        <v>14</v>
      </c>
      <c r="E328" s="13"/>
      <c r="F328" s="13"/>
      <c r="G328" s="14"/>
    </row>
    <row r="329" spans="1:7" s="5" customFormat="1" ht="25.5">
      <c r="A329" s="29">
        <f t="shared" si="9"/>
        <v>8.116999999999996</v>
      </c>
      <c r="B329" s="18" t="s">
        <v>186</v>
      </c>
      <c r="C329" s="19" t="s">
        <v>177</v>
      </c>
      <c r="D329" s="20">
        <v>14</v>
      </c>
      <c r="E329" s="13"/>
      <c r="F329" s="13"/>
      <c r="G329" s="14"/>
    </row>
    <row r="330" spans="1:7" s="5" customFormat="1" ht="63.75">
      <c r="A330" s="29">
        <f t="shared" si="9"/>
        <v>8.117999999999995</v>
      </c>
      <c r="B330" s="18" t="s">
        <v>187</v>
      </c>
      <c r="C330" s="19" t="s">
        <v>177</v>
      </c>
      <c r="D330" s="20">
        <v>9</v>
      </c>
      <c r="E330" s="13"/>
      <c r="F330" s="13"/>
      <c r="G330" s="14"/>
    </row>
    <row r="331" spans="1:7" s="5" customFormat="1" ht="38.25">
      <c r="A331" s="29">
        <f t="shared" si="9"/>
        <v>8.118999999999994</v>
      </c>
      <c r="B331" s="18" t="s">
        <v>188</v>
      </c>
      <c r="C331" s="19" t="s">
        <v>177</v>
      </c>
      <c r="D331" s="20">
        <v>2</v>
      </c>
      <c r="E331" s="13"/>
      <c r="F331" s="13"/>
      <c r="G331" s="14"/>
    </row>
    <row r="332" spans="1:7" s="5" customFormat="1" ht="38.25">
      <c r="A332" s="29">
        <f t="shared" si="9"/>
        <v>8.119999999999994</v>
      </c>
      <c r="B332" s="18" t="s">
        <v>189</v>
      </c>
      <c r="C332" s="19" t="s">
        <v>177</v>
      </c>
      <c r="D332" s="20">
        <v>2</v>
      </c>
      <c r="E332" s="13"/>
      <c r="F332" s="13"/>
      <c r="G332" s="14"/>
    </row>
    <row r="333" spans="1:7" s="5" customFormat="1" ht="38.25">
      <c r="A333" s="29">
        <f t="shared" si="9"/>
        <v>8.120999999999993</v>
      </c>
      <c r="B333" s="18" t="s">
        <v>190</v>
      </c>
      <c r="C333" s="19" t="s">
        <v>177</v>
      </c>
      <c r="D333" s="20">
        <v>2</v>
      </c>
      <c r="E333" s="13"/>
      <c r="F333" s="13"/>
      <c r="G333" s="14"/>
    </row>
    <row r="334" spans="1:7" s="5" customFormat="1" ht="38.25">
      <c r="A334" s="29">
        <f t="shared" si="9"/>
        <v>8.121999999999993</v>
      </c>
      <c r="B334" s="18" t="s">
        <v>191</v>
      </c>
      <c r="C334" s="19" t="s">
        <v>177</v>
      </c>
      <c r="D334" s="20">
        <v>1</v>
      </c>
      <c r="E334" s="13"/>
      <c r="F334" s="13"/>
      <c r="G334" s="14"/>
    </row>
    <row r="335" spans="1:7" s="5" customFormat="1" ht="25.5">
      <c r="A335" s="29">
        <f t="shared" si="9"/>
        <v>8.122999999999992</v>
      </c>
      <c r="B335" s="18" t="s">
        <v>192</v>
      </c>
      <c r="C335" s="19" t="s">
        <v>177</v>
      </c>
      <c r="D335" s="20">
        <v>1</v>
      </c>
      <c r="E335" s="13"/>
      <c r="F335" s="13"/>
      <c r="G335" s="14"/>
    </row>
    <row r="336" spans="1:7" s="5" customFormat="1" ht="25.5">
      <c r="A336" s="29">
        <f t="shared" si="9"/>
        <v>8.123999999999992</v>
      </c>
      <c r="B336" s="18" t="s">
        <v>193</v>
      </c>
      <c r="C336" s="19" t="s">
        <v>177</v>
      </c>
      <c r="D336" s="20">
        <v>1</v>
      </c>
      <c r="E336" s="13"/>
      <c r="F336" s="13"/>
      <c r="G336" s="14"/>
    </row>
    <row r="337" spans="1:7" s="5" customFormat="1" ht="51">
      <c r="A337" s="29">
        <f t="shared" si="9"/>
        <v>8.124999999999991</v>
      </c>
      <c r="B337" s="18" t="s">
        <v>194</v>
      </c>
      <c r="C337" s="19" t="s">
        <v>177</v>
      </c>
      <c r="D337" s="20">
        <v>1</v>
      </c>
      <c r="E337" s="13"/>
      <c r="F337" s="13"/>
      <c r="G337" s="14"/>
    </row>
    <row r="338" spans="1:7" s="5" customFormat="1" ht="25.5">
      <c r="A338" s="29">
        <f t="shared" si="9"/>
        <v>8.12599999999999</v>
      </c>
      <c r="B338" s="18" t="s">
        <v>195</v>
      </c>
      <c r="C338" s="19" t="s">
        <v>177</v>
      </c>
      <c r="D338" s="20">
        <v>1</v>
      </c>
      <c r="E338" s="13"/>
      <c r="F338" s="13"/>
      <c r="G338" s="14"/>
    </row>
    <row r="339" spans="1:7" s="5" customFormat="1" ht="25.5">
      <c r="A339" s="29">
        <f t="shared" si="9"/>
        <v>8.12699999999999</v>
      </c>
      <c r="B339" s="18" t="s">
        <v>196</v>
      </c>
      <c r="C339" s="19" t="s">
        <v>177</v>
      </c>
      <c r="D339" s="20">
        <v>2</v>
      </c>
      <c r="E339" s="13"/>
      <c r="F339" s="13"/>
      <c r="G339" s="14"/>
    </row>
    <row r="340" spans="1:7" s="5" customFormat="1" ht="25.5">
      <c r="A340" s="29">
        <f t="shared" si="9"/>
        <v>8.12799999999999</v>
      </c>
      <c r="B340" s="18" t="s">
        <v>197</v>
      </c>
      <c r="C340" s="19" t="s">
        <v>177</v>
      </c>
      <c r="D340" s="20">
        <v>1</v>
      </c>
      <c r="E340" s="13"/>
      <c r="F340" s="13"/>
      <c r="G340" s="14"/>
    </row>
    <row r="341" spans="1:7" s="5" customFormat="1" ht="51">
      <c r="A341" s="29">
        <f t="shared" si="9"/>
        <v>8.128999999999989</v>
      </c>
      <c r="B341" s="18" t="s">
        <v>198</v>
      </c>
      <c r="C341" s="19" t="s">
        <v>177</v>
      </c>
      <c r="D341" s="20">
        <v>1</v>
      </c>
      <c r="E341" s="13"/>
      <c r="F341" s="13"/>
      <c r="G341" s="14"/>
    </row>
    <row r="342" spans="1:7" s="5" customFormat="1" ht="51">
      <c r="A342" s="29">
        <f t="shared" si="9"/>
        <v>8.129999999999988</v>
      </c>
      <c r="B342" s="18" t="s">
        <v>199</v>
      </c>
      <c r="C342" s="19" t="s">
        <v>200</v>
      </c>
      <c r="D342" s="20">
        <v>298.48</v>
      </c>
      <c r="E342" s="13"/>
      <c r="F342" s="13"/>
      <c r="G342" s="14"/>
    </row>
    <row r="343" spans="1:7" s="5" customFormat="1" ht="15">
      <c r="A343" s="29"/>
      <c r="B343" s="21" t="s">
        <v>684</v>
      </c>
      <c r="C343" s="19"/>
      <c r="D343" s="20"/>
      <c r="E343" s="13"/>
      <c r="F343" s="13"/>
      <c r="G343" s="14"/>
    </row>
    <row r="344" spans="1:7" s="5" customFormat="1" ht="12.75">
      <c r="A344" s="29">
        <v>8.131</v>
      </c>
      <c r="B344" s="18" t="s">
        <v>171</v>
      </c>
      <c r="C344" s="19" t="s">
        <v>10</v>
      </c>
      <c r="D344" s="20">
        <v>573.55588</v>
      </c>
      <c r="E344" s="13"/>
      <c r="F344" s="13"/>
      <c r="G344" s="14"/>
    </row>
    <row r="345" spans="1:7" s="5" customFormat="1" ht="12.75">
      <c r="A345" s="29">
        <f t="shared" si="9"/>
        <v>8.132</v>
      </c>
      <c r="B345" s="18" t="s">
        <v>172</v>
      </c>
      <c r="C345" s="19" t="s">
        <v>10</v>
      </c>
      <c r="D345" s="20">
        <v>573.55588</v>
      </c>
      <c r="E345" s="13"/>
      <c r="F345" s="13"/>
      <c r="G345" s="14"/>
    </row>
    <row r="346" spans="1:7" s="5" customFormat="1" ht="12.75">
      <c r="A346" s="29">
        <f t="shared" si="9"/>
        <v>8.133</v>
      </c>
      <c r="B346" s="18" t="s">
        <v>173</v>
      </c>
      <c r="C346" s="19" t="s">
        <v>10</v>
      </c>
      <c r="D346" s="20">
        <v>60.77</v>
      </c>
      <c r="E346" s="13"/>
      <c r="F346" s="13"/>
      <c r="G346" s="14"/>
    </row>
    <row r="347" spans="1:7" s="5" customFormat="1" ht="12.75">
      <c r="A347" s="29">
        <f t="shared" si="9"/>
        <v>8.133999999999999</v>
      </c>
      <c r="B347" s="18" t="s">
        <v>174</v>
      </c>
      <c r="C347" s="19" t="s">
        <v>10</v>
      </c>
      <c r="D347" s="20">
        <v>181.612396607811</v>
      </c>
      <c r="E347" s="13"/>
      <c r="F347" s="13"/>
      <c r="G347" s="14"/>
    </row>
    <row r="348" spans="1:7" s="5" customFormat="1" ht="13.5" thickBot="1">
      <c r="A348" s="29"/>
      <c r="B348" s="18"/>
      <c r="C348" s="19"/>
      <c r="D348" s="20"/>
      <c r="E348" s="13"/>
      <c r="F348" s="13"/>
      <c r="G348" s="14"/>
    </row>
    <row r="349" spans="1:7" s="5" customFormat="1" ht="13.5" thickBot="1">
      <c r="A349" s="29"/>
      <c r="B349" s="6"/>
      <c r="C349" s="23"/>
      <c r="D349" s="10"/>
      <c r="E349" s="71" t="str">
        <f>+B170</f>
        <v>CONSTRUCCION DE COCINA - COMEDOR  (Tipo 3-R)</v>
      </c>
      <c r="F349" s="72"/>
      <c r="G349" s="16">
        <f>SUM(F171:F347)</f>
        <v>0</v>
      </c>
    </row>
    <row r="350" spans="1:7" s="5" customFormat="1" ht="13.5" thickBot="1">
      <c r="A350" s="29"/>
      <c r="B350" s="6"/>
      <c r="C350" s="23"/>
      <c r="D350" s="10"/>
      <c r="E350" s="13"/>
      <c r="F350" s="13"/>
      <c r="G350" s="14"/>
    </row>
    <row r="351" spans="1:7" s="5" customFormat="1" ht="16.5" thickBot="1">
      <c r="A351" s="28">
        <v>9</v>
      </c>
      <c r="B351" s="61" t="s">
        <v>263</v>
      </c>
      <c r="C351" s="23"/>
      <c r="D351" s="10"/>
      <c r="E351" s="13"/>
      <c r="F351" s="13"/>
      <c r="G351" s="14"/>
    </row>
    <row r="352" spans="1:7" s="5" customFormat="1" ht="12.75">
      <c r="A352" s="29">
        <f>+A351+0.001</f>
        <v>9.001</v>
      </c>
      <c r="B352" s="6" t="s">
        <v>396</v>
      </c>
      <c r="C352" s="23" t="s">
        <v>10</v>
      </c>
      <c r="D352" s="10">
        <f>19*12</f>
        <v>228</v>
      </c>
      <c r="E352" s="13"/>
      <c r="F352" s="13"/>
      <c r="G352" s="14"/>
    </row>
    <row r="353" spans="1:7" s="5" customFormat="1" ht="15">
      <c r="A353" s="29"/>
      <c r="B353" s="21" t="s">
        <v>265</v>
      </c>
      <c r="C353" s="23"/>
      <c r="D353" s="10"/>
      <c r="E353" s="13"/>
      <c r="F353" s="13"/>
      <c r="G353" s="14"/>
    </row>
    <row r="354" spans="1:7" s="5" customFormat="1" ht="25.5">
      <c r="A354" s="29">
        <v>9.002</v>
      </c>
      <c r="B354" s="6" t="s">
        <v>344</v>
      </c>
      <c r="C354" s="23" t="s">
        <v>15</v>
      </c>
      <c r="D354" s="10">
        <f>43.59*0.45*1</f>
        <v>19.6155</v>
      </c>
      <c r="E354" s="13"/>
      <c r="F354" s="13"/>
      <c r="G354" s="14"/>
    </row>
    <row r="355" spans="1:7" s="5" customFormat="1" ht="25.5">
      <c r="A355" s="29">
        <f>+A354+0.001</f>
        <v>9.003</v>
      </c>
      <c r="B355" s="6" t="s">
        <v>345</v>
      </c>
      <c r="C355" s="23" t="s">
        <v>15</v>
      </c>
      <c r="D355" s="10">
        <f>100.14*0.6*1</f>
        <v>60.083999999999996</v>
      </c>
      <c r="E355" s="13"/>
      <c r="F355" s="13"/>
      <c r="G355" s="14"/>
    </row>
    <row r="356" spans="1:7" s="5" customFormat="1" ht="12.75">
      <c r="A356" s="29">
        <v>9.04</v>
      </c>
      <c r="B356" s="6" t="s">
        <v>267</v>
      </c>
      <c r="C356" s="23" t="s">
        <v>15</v>
      </c>
      <c r="D356" s="10">
        <v>31</v>
      </c>
      <c r="E356" s="13"/>
      <c r="F356" s="13"/>
      <c r="G356" s="14"/>
    </row>
    <row r="357" spans="1:7" s="5" customFormat="1" ht="12.75">
      <c r="A357" s="29">
        <v>9.006</v>
      </c>
      <c r="B357" s="6" t="s">
        <v>269</v>
      </c>
      <c r="C357" s="23" t="s">
        <v>50</v>
      </c>
      <c r="D357" s="10">
        <f>SUM(D354:D356)</f>
        <v>110.6995</v>
      </c>
      <c r="E357" s="13"/>
      <c r="F357" s="13"/>
      <c r="G357" s="14"/>
    </row>
    <row r="358" spans="1:7" s="5" customFormat="1" ht="12.75">
      <c r="A358" s="29">
        <f aca="true" t="shared" si="10" ref="A358:A456">+A357+0.001</f>
        <v>9.007</v>
      </c>
      <c r="B358" s="6" t="s">
        <v>270</v>
      </c>
      <c r="C358" s="23" t="s">
        <v>16</v>
      </c>
      <c r="D358" s="10">
        <f>+D357*0.4</f>
        <v>44.2798</v>
      </c>
      <c r="E358" s="13"/>
      <c r="F358" s="13"/>
      <c r="G358" s="14"/>
    </row>
    <row r="359" spans="1:7" s="5" customFormat="1" ht="15">
      <c r="A359" s="29"/>
      <c r="B359" s="21" t="s">
        <v>271</v>
      </c>
      <c r="C359" s="23"/>
      <c r="D359" s="10"/>
      <c r="E359" s="13"/>
      <c r="F359" s="13"/>
      <c r="G359" s="14"/>
    </row>
    <row r="360" spans="1:7" s="5" customFormat="1" ht="12.75">
      <c r="A360" s="29">
        <v>9.008</v>
      </c>
      <c r="B360" s="6" t="s">
        <v>346</v>
      </c>
      <c r="C360" s="23" t="s">
        <v>0</v>
      </c>
      <c r="D360" s="10">
        <f>43.59*0.45*0.3</f>
        <v>5.88465</v>
      </c>
      <c r="E360" s="13"/>
      <c r="F360" s="13"/>
      <c r="G360" s="14"/>
    </row>
    <row r="361" spans="1:7" s="5" customFormat="1" ht="12.75">
      <c r="A361" s="29">
        <f>+A360+0.001</f>
        <v>9.008999999999999</v>
      </c>
      <c r="B361" s="6" t="s">
        <v>273</v>
      </c>
      <c r="C361" s="23" t="s">
        <v>0</v>
      </c>
      <c r="D361" s="10">
        <f>100.14*0.8*0.3</f>
        <v>24.033600000000003</v>
      </c>
      <c r="E361" s="13"/>
      <c r="F361" s="13"/>
      <c r="G361" s="14"/>
    </row>
    <row r="362" spans="1:7" s="5" customFormat="1" ht="12.75">
      <c r="A362" s="29">
        <f t="shared" si="10"/>
        <v>9.009999999999998</v>
      </c>
      <c r="B362" s="6" t="s">
        <v>275</v>
      </c>
      <c r="C362" s="23" t="s">
        <v>0</v>
      </c>
      <c r="D362" s="10">
        <f>1.55*1*20*0.3</f>
        <v>9.299999999999999</v>
      </c>
      <c r="E362" s="13"/>
      <c r="F362" s="13"/>
      <c r="G362" s="14"/>
    </row>
    <row r="363" spans="1:7" s="5" customFormat="1" ht="15">
      <c r="A363" s="29"/>
      <c r="B363" s="21" t="s">
        <v>388</v>
      </c>
      <c r="C363" s="23"/>
      <c r="D363" s="10"/>
      <c r="E363" s="13"/>
      <c r="F363" s="13"/>
      <c r="G363" s="14"/>
    </row>
    <row r="364" spans="1:7" s="5" customFormat="1" ht="12.75">
      <c r="A364" s="29">
        <v>9.011</v>
      </c>
      <c r="B364" s="6" t="s">
        <v>347</v>
      </c>
      <c r="C364" s="23" t="s">
        <v>0</v>
      </c>
      <c r="D364" s="10">
        <f>40*0.15*0.2*3.8</f>
        <v>4.5600000000000005</v>
      </c>
      <c r="E364" s="13"/>
      <c r="F364" s="13"/>
      <c r="G364" s="14"/>
    </row>
    <row r="365" spans="1:7" s="5" customFormat="1" ht="12.75">
      <c r="A365" s="29">
        <f t="shared" si="10"/>
        <v>9.011999999999999</v>
      </c>
      <c r="B365" s="6" t="s">
        <v>278</v>
      </c>
      <c r="C365" s="23" t="s">
        <v>0</v>
      </c>
      <c r="D365" s="10">
        <f>0.4*0.2*3.8*16</f>
        <v>4.864000000000001</v>
      </c>
      <c r="E365" s="13"/>
      <c r="F365" s="13"/>
      <c r="G365" s="14"/>
    </row>
    <row r="366" spans="1:7" s="5" customFormat="1" ht="12.75">
      <c r="A366" s="29">
        <f t="shared" si="10"/>
        <v>9.012999999999998</v>
      </c>
      <c r="B366" s="6" t="s">
        <v>260</v>
      </c>
      <c r="C366" s="23" t="s">
        <v>0</v>
      </c>
      <c r="D366" s="10">
        <f>7*0.2*0.15*3.8</f>
        <v>0.798</v>
      </c>
      <c r="E366" s="13"/>
      <c r="F366" s="13"/>
      <c r="G366" s="14"/>
    </row>
    <row r="367" spans="1:7" s="5" customFormat="1" ht="12.75">
      <c r="A367" s="29">
        <f t="shared" si="10"/>
        <v>9.013999999999998</v>
      </c>
      <c r="B367" s="6" t="s">
        <v>261</v>
      </c>
      <c r="C367" s="23" t="s">
        <v>0</v>
      </c>
      <c r="D367" s="10">
        <f>0.2*0.2*3.8*3</f>
        <v>0.45600000000000007</v>
      </c>
      <c r="E367" s="13"/>
      <c r="F367" s="13"/>
      <c r="G367" s="14"/>
    </row>
    <row r="368" spans="1:7" s="5" customFormat="1" ht="12.75">
      <c r="A368" s="29">
        <f t="shared" si="10"/>
        <v>9.014999999999997</v>
      </c>
      <c r="B368" s="6" t="s">
        <v>350</v>
      </c>
      <c r="C368" s="23" t="s">
        <v>0</v>
      </c>
      <c r="D368" s="10">
        <f>6.8*2*0.2*0.5</f>
        <v>1.36</v>
      </c>
      <c r="E368" s="13"/>
      <c r="F368" s="13"/>
      <c r="G368" s="14"/>
    </row>
    <row r="369" spans="1:7" s="5" customFormat="1" ht="12.75">
      <c r="A369" s="29">
        <f t="shared" si="10"/>
        <v>9.015999999999996</v>
      </c>
      <c r="B369" s="6" t="s">
        <v>351</v>
      </c>
      <c r="C369" s="23" t="s">
        <v>0</v>
      </c>
      <c r="D369" s="10">
        <f>+(57.94*0.2*0.32)*1.08</f>
        <v>4.004812800000001</v>
      </c>
      <c r="E369" s="13"/>
      <c r="F369" s="13"/>
      <c r="G369" s="14"/>
    </row>
    <row r="370" spans="1:7" s="5" customFormat="1" ht="12.75">
      <c r="A370" s="29">
        <f t="shared" si="10"/>
        <v>9.016999999999996</v>
      </c>
      <c r="B370" s="6" t="s">
        <v>353</v>
      </c>
      <c r="C370" s="23" t="s">
        <v>0</v>
      </c>
      <c r="D370" s="10">
        <f>36*0.2*0.6</f>
        <v>4.32</v>
      </c>
      <c r="E370" s="13"/>
      <c r="F370" s="13"/>
      <c r="G370" s="14"/>
    </row>
    <row r="371" spans="1:7" s="5" customFormat="1" ht="12.75">
      <c r="A371" s="29">
        <f t="shared" si="10"/>
        <v>9.017999999999995</v>
      </c>
      <c r="B371" s="6" t="s">
        <v>352</v>
      </c>
      <c r="C371" s="23" t="s">
        <v>0</v>
      </c>
      <c r="D371" s="10">
        <f>39*0.2*0.32</f>
        <v>2.4960000000000004</v>
      </c>
      <c r="E371" s="13"/>
      <c r="F371" s="13"/>
      <c r="G371" s="14"/>
    </row>
    <row r="372" spans="1:7" s="5" customFormat="1" ht="12.75">
      <c r="A372" s="29">
        <f t="shared" si="10"/>
        <v>9.018999999999995</v>
      </c>
      <c r="B372" s="6" t="s">
        <v>349</v>
      </c>
      <c r="C372" s="23" t="s">
        <v>0</v>
      </c>
      <c r="D372" s="10">
        <f>13*1.4*0.2*0.2</f>
        <v>0.7280000000000001</v>
      </c>
      <c r="E372" s="13"/>
      <c r="F372" s="13"/>
      <c r="G372" s="14"/>
    </row>
    <row r="373" spans="1:7" s="5" customFormat="1" ht="12.75">
      <c r="A373" s="29">
        <f t="shared" si="10"/>
        <v>9.019999999999994</v>
      </c>
      <c r="B373" s="6" t="s">
        <v>402</v>
      </c>
      <c r="C373" s="23" t="s">
        <v>0</v>
      </c>
      <c r="D373" s="10">
        <f>73.3*0.12</f>
        <v>8.796</v>
      </c>
      <c r="E373" s="13"/>
      <c r="F373" s="13"/>
      <c r="G373" s="14"/>
    </row>
    <row r="374" spans="1:7" s="5" customFormat="1" ht="15">
      <c r="A374" s="29"/>
      <c r="B374" s="21" t="s">
        <v>288</v>
      </c>
      <c r="C374" s="23"/>
      <c r="D374" s="10"/>
      <c r="E374" s="13"/>
      <c r="F374" s="13"/>
      <c r="G374" s="14"/>
    </row>
    <row r="375" spans="1:7" s="5" customFormat="1" ht="12.75">
      <c r="A375" s="29">
        <v>9.021</v>
      </c>
      <c r="B375" s="6" t="s">
        <v>289</v>
      </c>
      <c r="C375" s="23" t="s">
        <v>10</v>
      </c>
      <c r="D375" s="10">
        <v>73.3</v>
      </c>
      <c r="E375" s="13"/>
      <c r="F375" s="13"/>
      <c r="G375" s="14"/>
    </row>
    <row r="376" spans="1:7" s="5" customFormat="1" ht="12.75">
      <c r="A376" s="29">
        <f t="shared" si="10"/>
        <v>9.022</v>
      </c>
      <c r="B376" s="6" t="s">
        <v>290</v>
      </c>
      <c r="C376" s="23" t="s">
        <v>11</v>
      </c>
      <c r="D376" s="10">
        <f>10.4*4</f>
        <v>41.6</v>
      </c>
      <c r="E376" s="13"/>
      <c r="F376" s="13"/>
      <c r="G376" s="14"/>
    </row>
    <row r="377" spans="1:7" s="5" customFormat="1" ht="12.75">
      <c r="A377" s="29">
        <f t="shared" si="10"/>
        <v>9.023</v>
      </c>
      <c r="B377" s="6" t="s">
        <v>291</v>
      </c>
      <c r="C377" s="23" t="s">
        <v>10</v>
      </c>
      <c r="D377" s="10">
        <f>+D375</f>
        <v>73.3</v>
      </c>
      <c r="E377" s="13"/>
      <c r="F377" s="13"/>
      <c r="G377" s="14"/>
    </row>
    <row r="378" spans="1:7" s="5" customFormat="1" ht="15">
      <c r="A378" s="29"/>
      <c r="B378" s="21" t="s">
        <v>296</v>
      </c>
      <c r="C378" s="23"/>
      <c r="D378" s="10"/>
      <c r="E378" s="13"/>
      <c r="F378" s="13"/>
      <c r="G378" s="14"/>
    </row>
    <row r="379" spans="1:7" s="5" customFormat="1" ht="12.75">
      <c r="A379" s="29">
        <v>9.024</v>
      </c>
      <c r="B379" s="6" t="s">
        <v>354</v>
      </c>
      <c r="C379" s="23" t="s">
        <v>10</v>
      </c>
      <c r="D379" s="10">
        <f>83.55*0.8</f>
        <v>66.84</v>
      </c>
      <c r="E379" s="13"/>
      <c r="F379" s="13"/>
      <c r="G379" s="14"/>
    </row>
    <row r="380" spans="1:7" s="5" customFormat="1" ht="12.75">
      <c r="A380" s="29">
        <f t="shared" si="10"/>
        <v>9.024999999999999</v>
      </c>
      <c r="B380" s="6" t="s">
        <v>355</v>
      </c>
      <c r="C380" s="23" t="s">
        <v>10</v>
      </c>
      <c r="D380" s="10">
        <f>63.2*0.6</f>
        <v>37.92</v>
      </c>
      <c r="E380" s="13"/>
      <c r="F380" s="13"/>
      <c r="G380" s="14"/>
    </row>
    <row r="381" spans="1:7" s="5" customFormat="1" ht="12.75">
      <c r="A381" s="29">
        <f t="shared" si="10"/>
        <v>9.025999999999998</v>
      </c>
      <c r="B381" s="6" t="s">
        <v>357</v>
      </c>
      <c r="C381" s="23" t="s">
        <v>10</v>
      </c>
      <c r="D381" s="10">
        <v>206.2</v>
      </c>
      <c r="E381" s="13"/>
      <c r="F381" s="13"/>
      <c r="G381" s="14"/>
    </row>
    <row r="382" spans="1:7" s="5" customFormat="1" ht="12.75">
      <c r="A382" s="29">
        <f t="shared" si="10"/>
        <v>9.026999999999997</v>
      </c>
      <c r="B382" s="6" t="s">
        <v>356</v>
      </c>
      <c r="C382" s="23" t="s">
        <v>10</v>
      </c>
      <c r="D382" s="10">
        <v>101</v>
      </c>
      <c r="E382" s="13"/>
      <c r="F382" s="13"/>
      <c r="G382" s="14"/>
    </row>
    <row r="383" spans="1:7" s="5" customFormat="1" ht="15">
      <c r="A383" s="29"/>
      <c r="B383" s="21" t="s">
        <v>292</v>
      </c>
      <c r="C383" s="23"/>
      <c r="D383" s="10"/>
      <c r="E383" s="13"/>
      <c r="F383" s="13"/>
      <c r="G383" s="14"/>
    </row>
    <row r="384" spans="1:7" s="5" customFormat="1" ht="12.75">
      <c r="A384" s="29">
        <v>9.028</v>
      </c>
      <c r="B384" s="6" t="s">
        <v>262</v>
      </c>
      <c r="C384" s="23" t="s">
        <v>10</v>
      </c>
      <c r="D384" s="10">
        <f>SUM(D381:D382)*2</f>
        <v>614.4</v>
      </c>
      <c r="E384" s="13"/>
      <c r="F384" s="13"/>
      <c r="G384" s="14"/>
    </row>
    <row r="385" spans="1:7" s="5" customFormat="1" ht="12.75">
      <c r="A385" s="29">
        <f t="shared" si="10"/>
        <v>9.029</v>
      </c>
      <c r="B385" s="6" t="s">
        <v>293</v>
      </c>
      <c r="C385" s="23" t="s">
        <v>10</v>
      </c>
      <c r="D385" s="10">
        <f>+D384</f>
        <v>614.4</v>
      </c>
      <c r="E385" s="13"/>
      <c r="F385" s="13"/>
      <c r="G385" s="14"/>
    </row>
    <row r="386" spans="1:7" s="5" customFormat="1" ht="12.75">
      <c r="A386" s="29">
        <f t="shared" si="10"/>
        <v>9.03</v>
      </c>
      <c r="B386" s="18" t="s">
        <v>309</v>
      </c>
      <c r="C386" s="23" t="s">
        <v>11</v>
      </c>
      <c r="D386" s="10">
        <v>525</v>
      </c>
      <c r="E386" s="13"/>
      <c r="F386" s="13"/>
      <c r="G386" s="14"/>
    </row>
    <row r="387" spans="1:7" s="5" customFormat="1" ht="12.75">
      <c r="A387" s="29">
        <f t="shared" si="10"/>
        <v>9.030999999999999</v>
      </c>
      <c r="B387" s="6" t="s">
        <v>361</v>
      </c>
      <c r="C387" s="23" t="s">
        <v>10</v>
      </c>
      <c r="D387" s="10">
        <v>58</v>
      </c>
      <c r="E387" s="13"/>
      <c r="F387" s="13"/>
      <c r="G387" s="14"/>
    </row>
    <row r="388" spans="1:7" s="5" customFormat="1" ht="12.75">
      <c r="A388" s="29">
        <f t="shared" si="10"/>
        <v>9.031999999999998</v>
      </c>
      <c r="B388" s="6" t="s">
        <v>360</v>
      </c>
      <c r="C388" s="23" t="s">
        <v>10</v>
      </c>
      <c r="D388" s="10">
        <f>6.2*0.8</f>
        <v>4.960000000000001</v>
      </c>
      <c r="E388" s="13"/>
      <c r="F388" s="13"/>
      <c r="G388" s="14"/>
    </row>
    <row r="389" spans="1:7" s="5" customFormat="1" ht="12.75">
      <c r="A389" s="29">
        <f t="shared" si="10"/>
        <v>9.032999999999998</v>
      </c>
      <c r="B389" s="6" t="s">
        <v>299</v>
      </c>
      <c r="C389" s="23" t="s">
        <v>10</v>
      </c>
      <c r="D389" s="10">
        <v>38.02</v>
      </c>
      <c r="E389" s="13"/>
      <c r="F389" s="13"/>
      <c r="G389" s="14"/>
    </row>
    <row r="390" spans="1:7" s="5" customFormat="1" ht="12.75">
      <c r="A390" s="29">
        <f>+A389+0.001</f>
        <v>9.033999999999997</v>
      </c>
      <c r="B390" s="6" t="s">
        <v>300</v>
      </c>
      <c r="C390" s="23" t="s">
        <v>11</v>
      </c>
      <c r="D390" s="10">
        <f>9.2*6</f>
        <v>55.199999999999996</v>
      </c>
      <c r="E390" s="13"/>
      <c r="F390" s="13"/>
      <c r="G390" s="14"/>
    </row>
    <row r="391" spans="1:7" s="5" customFormat="1" ht="15">
      <c r="A391" s="29"/>
      <c r="B391" s="21" t="s">
        <v>316</v>
      </c>
      <c r="C391" s="23"/>
      <c r="D391" s="10"/>
      <c r="E391" s="13"/>
      <c r="F391" s="13"/>
      <c r="G391" s="14"/>
    </row>
    <row r="392" spans="1:7" s="5" customFormat="1" ht="25.5">
      <c r="A392" s="29">
        <v>9.035</v>
      </c>
      <c r="B392" s="6" t="s">
        <v>362</v>
      </c>
      <c r="C392" s="23" t="s">
        <v>10</v>
      </c>
      <c r="D392" s="10">
        <v>200</v>
      </c>
      <c r="E392" s="13"/>
      <c r="F392" s="13"/>
      <c r="G392" s="14"/>
    </row>
    <row r="393" spans="1:7" s="5" customFormat="1" ht="12.75">
      <c r="A393" s="29">
        <f t="shared" si="10"/>
        <v>9.036</v>
      </c>
      <c r="B393" s="6" t="s">
        <v>359</v>
      </c>
      <c r="C393" s="23" t="s">
        <v>11</v>
      </c>
      <c r="D393" s="10">
        <v>35.8</v>
      </c>
      <c r="E393" s="13"/>
      <c r="F393" s="13"/>
      <c r="G393" s="14"/>
    </row>
    <row r="394" spans="1:7" s="5" customFormat="1" ht="12.75">
      <c r="A394" s="29">
        <f t="shared" si="10"/>
        <v>9.036999999999999</v>
      </c>
      <c r="B394" s="6" t="s">
        <v>358</v>
      </c>
      <c r="C394" s="23" t="s">
        <v>11</v>
      </c>
      <c r="D394" s="10">
        <v>116</v>
      </c>
      <c r="E394" s="13"/>
      <c r="F394" s="13"/>
      <c r="G394" s="14"/>
    </row>
    <row r="395" spans="1:7" s="5" customFormat="1" ht="12.75">
      <c r="A395" s="29">
        <f t="shared" si="10"/>
        <v>9.037999999999998</v>
      </c>
      <c r="B395" s="6" t="s">
        <v>320</v>
      </c>
      <c r="C395" s="23" t="s">
        <v>11</v>
      </c>
      <c r="D395" s="10">
        <f>9.2*4</f>
        <v>36.8</v>
      </c>
      <c r="E395" s="13"/>
      <c r="F395" s="13"/>
      <c r="G395" s="14"/>
    </row>
    <row r="396" spans="1:7" s="5" customFormat="1" ht="12.75">
      <c r="A396" s="29">
        <f t="shared" si="10"/>
        <v>9.038999999999998</v>
      </c>
      <c r="B396" s="6" t="s">
        <v>318</v>
      </c>
      <c r="C396" s="23" t="s">
        <v>319</v>
      </c>
      <c r="D396" s="10">
        <v>1</v>
      </c>
      <c r="E396" s="13"/>
      <c r="F396" s="13"/>
      <c r="G396" s="14"/>
    </row>
    <row r="397" spans="1:7" s="5" customFormat="1" ht="15">
      <c r="A397" s="29"/>
      <c r="B397" s="21" t="s">
        <v>322</v>
      </c>
      <c r="C397" s="23"/>
      <c r="D397" s="10"/>
      <c r="E397" s="13"/>
      <c r="F397" s="13"/>
      <c r="G397" s="14"/>
    </row>
    <row r="398" spans="1:7" s="5" customFormat="1" ht="12.75">
      <c r="A398" s="29">
        <v>9.04</v>
      </c>
      <c r="B398" s="6" t="s">
        <v>348</v>
      </c>
      <c r="C398" s="23" t="s">
        <v>0</v>
      </c>
      <c r="D398" s="10">
        <f>+D399</f>
        <v>246.862</v>
      </c>
      <c r="E398" s="13"/>
      <c r="F398" s="13"/>
      <c r="G398" s="14"/>
    </row>
    <row r="399" spans="1:7" s="5" customFormat="1" ht="12.75">
      <c r="A399" s="29">
        <f t="shared" si="10"/>
        <v>9.040999999999999</v>
      </c>
      <c r="B399" s="6" t="s">
        <v>325</v>
      </c>
      <c r="C399" s="23" t="s">
        <v>10</v>
      </c>
      <c r="D399" s="10">
        <f>224.42*1.1</f>
        <v>246.862</v>
      </c>
      <c r="E399" s="13"/>
      <c r="F399" s="13"/>
      <c r="G399" s="14"/>
    </row>
    <row r="400" spans="1:7" s="5" customFormat="1" ht="12.75">
      <c r="A400" s="29">
        <f t="shared" si="10"/>
        <v>9.041999999999998</v>
      </c>
      <c r="B400" s="6" t="s">
        <v>323</v>
      </c>
      <c r="C400" s="23" t="s">
        <v>11</v>
      </c>
      <c r="D400" s="10">
        <f>162*2</f>
        <v>324</v>
      </c>
      <c r="E400" s="13"/>
      <c r="F400" s="13"/>
      <c r="G400" s="14"/>
    </row>
    <row r="401" spans="1:7" s="5" customFormat="1" ht="12.75">
      <c r="A401" s="29">
        <f t="shared" si="10"/>
        <v>9.042999999999997</v>
      </c>
      <c r="B401" s="6" t="s">
        <v>326</v>
      </c>
      <c r="C401" s="23" t="s">
        <v>10</v>
      </c>
      <c r="D401" s="10">
        <f>+D399+(D402*0.07)</f>
        <v>258.692</v>
      </c>
      <c r="E401" s="13"/>
      <c r="F401" s="13"/>
      <c r="G401" s="14"/>
    </row>
    <row r="402" spans="1:7" s="5" customFormat="1" ht="12.75">
      <c r="A402" s="29">
        <f t="shared" si="10"/>
        <v>9.043999999999997</v>
      </c>
      <c r="B402" s="6" t="s">
        <v>324</v>
      </c>
      <c r="C402" s="23" t="s">
        <v>11</v>
      </c>
      <c r="D402" s="10">
        <f>144+25</f>
        <v>169</v>
      </c>
      <c r="E402" s="13"/>
      <c r="F402" s="13"/>
      <c r="G402" s="14"/>
    </row>
    <row r="403" spans="1:7" s="5" customFormat="1" ht="15">
      <c r="A403" s="29"/>
      <c r="B403" s="21" t="s">
        <v>363</v>
      </c>
      <c r="C403" s="23"/>
      <c r="D403" s="10"/>
      <c r="E403" s="13"/>
      <c r="F403" s="13"/>
      <c r="G403" s="14"/>
    </row>
    <row r="404" spans="1:7" s="5" customFormat="1" ht="25.5">
      <c r="A404" s="29">
        <v>9.045</v>
      </c>
      <c r="B404" s="6" t="s">
        <v>598</v>
      </c>
      <c r="C404" s="23" t="s">
        <v>12</v>
      </c>
      <c r="D404" s="10">
        <v>1</v>
      </c>
      <c r="E404" s="13"/>
      <c r="F404" s="13"/>
      <c r="G404" s="14"/>
    </row>
    <row r="405" spans="1:7" s="5" customFormat="1" ht="12.75">
      <c r="A405" s="29">
        <f t="shared" si="10"/>
        <v>9.046</v>
      </c>
      <c r="B405" s="6" t="s">
        <v>380</v>
      </c>
      <c r="C405" s="23" t="s">
        <v>12</v>
      </c>
      <c r="D405" s="10">
        <v>1</v>
      </c>
      <c r="E405" s="13"/>
      <c r="F405" s="13"/>
      <c r="G405" s="14"/>
    </row>
    <row r="406" spans="1:7" s="5" customFormat="1" ht="12.75">
      <c r="A406" s="29">
        <f t="shared" si="10"/>
        <v>9.046999999999999</v>
      </c>
      <c r="B406" s="6" t="s">
        <v>381</v>
      </c>
      <c r="C406" s="23" t="s">
        <v>12</v>
      </c>
      <c r="D406" s="10">
        <v>1</v>
      </c>
      <c r="E406" s="13"/>
      <c r="F406" s="13"/>
      <c r="G406" s="14"/>
    </row>
    <row r="407" spans="1:7" s="5" customFormat="1" ht="25.5">
      <c r="A407" s="29">
        <f t="shared" si="10"/>
        <v>9.047999999999998</v>
      </c>
      <c r="B407" s="6" t="s">
        <v>403</v>
      </c>
      <c r="C407" s="23" t="s">
        <v>27</v>
      </c>
      <c r="D407" s="10">
        <v>5</v>
      </c>
      <c r="E407" s="13"/>
      <c r="F407" s="13"/>
      <c r="G407" s="14"/>
    </row>
    <row r="408" spans="1:7" s="5" customFormat="1" ht="12.75">
      <c r="A408" s="29">
        <f t="shared" si="10"/>
        <v>9.048999999999998</v>
      </c>
      <c r="B408" s="6" t="s">
        <v>368</v>
      </c>
      <c r="C408" s="23" t="s">
        <v>364</v>
      </c>
      <c r="D408" s="10">
        <f>1.5*5*3.28</f>
        <v>24.599999999999998</v>
      </c>
      <c r="E408" s="13"/>
      <c r="F408" s="13"/>
      <c r="G408" s="14"/>
    </row>
    <row r="409" spans="1:7" s="5" customFormat="1" ht="12.75">
      <c r="A409" s="29">
        <f t="shared" si="10"/>
        <v>9.049999999999997</v>
      </c>
      <c r="B409" s="6" t="s">
        <v>369</v>
      </c>
      <c r="C409" s="23" t="s">
        <v>364</v>
      </c>
      <c r="D409" s="10">
        <v>8.4</v>
      </c>
      <c r="E409" s="13"/>
      <c r="F409" s="13"/>
      <c r="G409" s="14"/>
    </row>
    <row r="410" spans="1:7" s="5" customFormat="1" ht="25.5">
      <c r="A410" s="29">
        <f t="shared" si="10"/>
        <v>9.050999999999997</v>
      </c>
      <c r="B410" s="6" t="s">
        <v>370</v>
      </c>
      <c r="C410" s="23" t="s">
        <v>27</v>
      </c>
      <c r="D410" s="10">
        <v>1</v>
      </c>
      <c r="E410" s="13"/>
      <c r="F410" s="13"/>
      <c r="G410" s="14"/>
    </row>
    <row r="411" spans="1:7" s="5" customFormat="1" ht="25.5">
      <c r="A411" s="29">
        <f t="shared" si="10"/>
        <v>9.051999999999996</v>
      </c>
      <c r="B411" s="6" t="s">
        <v>371</v>
      </c>
      <c r="C411" s="23" t="s">
        <v>27</v>
      </c>
      <c r="D411" s="10">
        <v>5</v>
      </c>
      <c r="E411" s="13"/>
      <c r="F411" s="13"/>
      <c r="G411" s="14"/>
    </row>
    <row r="412" spans="1:7" s="5" customFormat="1" ht="12.75">
      <c r="A412" s="29">
        <f t="shared" si="10"/>
        <v>9.052999999999995</v>
      </c>
      <c r="B412" s="6" t="s">
        <v>367</v>
      </c>
      <c r="C412" s="23" t="s">
        <v>27</v>
      </c>
      <c r="D412" s="10">
        <v>5</v>
      </c>
      <c r="E412" s="13"/>
      <c r="F412" s="13"/>
      <c r="G412" s="14"/>
    </row>
    <row r="413" spans="1:7" s="5" customFormat="1" ht="25.5">
      <c r="A413" s="29">
        <f t="shared" si="10"/>
        <v>9.053999999999995</v>
      </c>
      <c r="B413" s="6" t="s">
        <v>366</v>
      </c>
      <c r="C413" s="23" t="s">
        <v>27</v>
      </c>
      <c r="D413" s="10">
        <v>5</v>
      </c>
      <c r="E413" s="13"/>
      <c r="F413" s="13"/>
      <c r="G413" s="14"/>
    </row>
    <row r="414" spans="1:7" s="5" customFormat="1" ht="25.5">
      <c r="A414" s="29">
        <f t="shared" si="10"/>
        <v>9.054999999999994</v>
      </c>
      <c r="B414" s="6" t="s">
        <v>372</v>
      </c>
      <c r="C414" s="23" t="s">
        <v>27</v>
      </c>
      <c r="D414" s="10">
        <v>5</v>
      </c>
      <c r="E414" s="13"/>
      <c r="F414" s="13"/>
      <c r="G414" s="14"/>
    </row>
    <row r="415" spans="1:7" s="5" customFormat="1" ht="12.75">
      <c r="A415" s="29">
        <f t="shared" si="10"/>
        <v>9.055999999999994</v>
      </c>
      <c r="B415" s="6" t="s">
        <v>365</v>
      </c>
      <c r="C415" s="23" t="s">
        <v>27</v>
      </c>
      <c r="D415" s="10">
        <v>5</v>
      </c>
      <c r="E415" s="13"/>
      <c r="F415" s="13"/>
      <c r="G415" s="14"/>
    </row>
    <row r="416" spans="1:7" s="5" customFormat="1" ht="12.75">
      <c r="A416" s="29">
        <f t="shared" si="10"/>
        <v>9.056999999999993</v>
      </c>
      <c r="B416" s="6" t="s">
        <v>373</v>
      </c>
      <c r="C416" s="23" t="s">
        <v>27</v>
      </c>
      <c r="D416" s="10">
        <v>5</v>
      </c>
      <c r="E416" s="13"/>
      <c r="F416" s="13"/>
      <c r="G416" s="14"/>
    </row>
    <row r="417" spans="1:7" s="5" customFormat="1" ht="12.75">
      <c r="A417" s="29">
        <f t="shared" si="10"/>
        <v>9.057999999999993</v>
      </c>
      <c r="B417" s="6" t="s">
        <v>374</v>
      </c>
      <c r="C417" s="23" t="s">
        <v>27</v>
      </c>
      <c r="D417" s="10">
        <v>10</v>
      </c>
      <c r="E417" s="13"/>
      <c r="F417" s="13"/>
      <c r="G417" s="14"/>
    </row>
    <row r="418" spans="1:7" s="5" customFormat="1" ht="12.75">
      <c r="A418" s="29">
        <f t="shared" si="10"/>
        <v>9.058999999999992</v>
      </c>
      <c r="B418" s="6" t="s">
        <v>375</v>
      </c>
      <c r="C418" s="23" t="s">
        <v>27</v>
      </c>
      <c r="D418" s="10">
        <v>5</v>
      </c>
      <c r="E418" s="13"/>
      <c r="F418" s="13"/>
      <c r="G418" s="14"/>
    </row>
    <row r="419" spans="1:7" s="5" customFormat="1" ht="12.75">
      <c r="A419" s="29">
        <f t="shared" si="10"/>
        <v>9.059999999999992</v>
      </c>
      <c r="B419" s="6" t="s">
        <v>376</v>
      </c>
      <c r="C419" s="23" t="s">
        <v>27</v>
      </c>
      <c r="D419" s="10">
        <v>5</v>
      </c>
      <c r="E419" s="13"/>
      <c r="F419" s="13"/>
      <c r="G419" s="14"/>
    </row>
    <row r="420" spans="1:7" s="5" customFormat="1" ht="12.75">
      <c r="A420" s="29">
        <f t="shared" si="10"/>
        <v>9.060999999999991</v>
      </c>
      <c r="B420" s="6" t="s">
        <v>377</v>
      </c>
      <c r="C420" s="23" t="s">
        <v>27</v>
      </c>
      <c r="D420" s="10">
        <v>5</v>
      </c>
      <c r="E420" s="13"/>
      <c r="F420" s="13"/>
      <c r="G420" s="14"/>
    </row>
    <row r="421" spans="1:7" s="5" customFormat="1" ht="12.75">
      <c r="A421" s="29">
        <f t="shared" si="10"/>
        <v>9.06199999999999</v>
      </c>
      <c r="B421" s="6" t="s">
        <v>378</v>
      </c>
      <c r="C421" s="23" t="s">
        <v>27</v>
      </c>
      <c r="D421" s="10">
        <v>5</v>
      </c>
      <c r="E421" s="13"/>
      <c r="F421" s="13"/>
      <c r="G421" s="14"/>
    </row>
    <row r="422" spans="1:7" s="5" customFormat="1" ht="12.75">
      <c r="A422" s="29">
        <f t="shared" si="10"/>
        <v>9.06299999999999</v>
      </c>
      <c r="B422" s="6" t="s">
        <v>383</v>
      </c>
      <c r="C422" s="23" t="s">
        <v>13</v>
      </c>
      <c r="D422" s="10">
        <v>3</v>
      </c>
      <c r="E422" s="13"/>
      <c r="F422" s="13"/>
      <c r="G422" s="14"/>
    </row>
    <row r="423" spans="1:7" s="5" customFormat="1" ht="12.75">
      <c r="A423" s="29">
        <f t="shared" si="10"/>
        <v>9.06399999999999</v>
      </c>
      <c r="B423" s="6" t="s">
        <v>384</v>
      </c>
      <c r="C423" s="23" t="s">
        <v>13</v>
      </c>
      <c r="D423" s="10">
        <v>1</v>
      </c>
      <c r="E423" s="13"/>
      <c r="F423" s="13"/>
      <c r="G423" s="14"/>
    </row>
    <row r="424" spans="1:7" s="5" customFormat="1" ht="12.75">
      <c r="A424" s="29">
        <f t="shared" si="10"/>
        <v>9.064999999999989</v>
      </c>
      <c r="B424" s="6" t="s">
        <v>661</v>
      </c>
      <c r="C424" s="23" t="s">
        <v>13</v>
      </c>
      <c r="D424" s="10">
        <v>5</v>
      </c>
      <c r="E424" s="13"/>
      <c r="F424" s="13"/>
      <c r="G424" s="14"/>
    </row>
    <row r="425" spans="1:7" s="5" customFormat="1" ht="12.75">
      <c r="A425" s="29">
        <f t="shared" si="10"/>
        <v>9.065999999999988</v>
      </c>
      <c r="B425" s="6" t="s">
        <v>662</v>
      </c>
      <c r="C425" s="23" t="s">
        <v>13</v>
      </c>
      <c r="D425" s="10">
        <v>1</v>
      </c>
      <c r="E425" s="13"/>
      <c r="F425" s="13"/>
      <c r="G425" s="14"/>
    </row>
    <row r="426" spans="1:7" s="5" customFormat="1" ht="12.75">
      <c r="A426" s="29">
        <f t="shared" si="10"/>
        <v>9.066999999999988</v>
      </c>
      <c r="B426" s="6" t="s">
        <v>663</v>
      </c>
      <c r="C426" s="23" t="s">
        <v>11</v>
      </c>
      <c r="D426" s="10">
        <v>32.81</v>
      </c>
      <c r="E426" s="13"/>
      <c r="F426" s="13"/>
      <c r="G426" s="14"/>
    </row>
    <row r="427" spans="1:7" s="5" customFormat="1" ht="12.75">
      <c r="A427" s="29">
        <f t="shared" si="10"/>
        <v>9.067999999999987</v>
      </c>
      <c r="B427" s="6" t="s">
        <v>664</v>
      </c>
      <c r="C427" s="23" t="s">
        <v>11</v>
      </c>
      <c r="D427" s="10">
        <v>11.34</v>
      </c>
      <c r="E427" s="13"/>
      <c r="F427" s="13"/>
      <c r="G427" s="14"/>
    </row>
    <row r="428" spans="1:7" s="5" customFormat="1" ht="12.75">
      <c r="A428" s="29">
        <f t="shared" si="10"/>
        <v>9.068999999999987</v>
      </c>
      <c r="B428" s="6" t="s">
        <v>665</v>
      </c>
      <c r="C428" s="23" t="s">
        <v>11</v>
      </c>
      <c r="D428" s="10">
        <v>3.1</v>
      </c>
      <c r="E428" s="13"/>
      <c r="F428" s="13"/>
      <c r="G428" s="14"/>
    </row>
    <row r="429" spans="1:7" s="5" customFormat="1" ht="12.75">
      <c r="A429" s="29">
        <f t="shared" si="10"/>
        <v>9.069999999999986</v>
      </c>
      <c r="B429" s="6" t="s">
        <v>666</v>
      </c>
      <c r="C429" s="23" t="s">
        <v>11</v>
      </c>
      <c r="D429" s="10">
        <v>8.2</v>
      </c>
      <c r="E429" s="13"/>
      <c r="F429" s="13"/>
      <c r="G429" s="14"/>
    </row>
    <row r="430" spans="1:7" s="5" customFormat="1" ht="12.75">
      <c r="A430" s="29">
        <f t="shared" si="10"/>
        <v>9.070999999999986</v>
      </c>
      <c r="B430" s="6" t="s">
        <v>667</v>
      </c>
      <c r="C430" s="23" t="s">
        <v>11</v>
      </c>
      <c r="D430" s="10">
        <v>22.5</v>
      </c>
      <c r="E430" s="13"/>
      <c r="F430" s="13"/>
      <c r="G430" s="14"/>
    </row>
    <row r="431" spans="1:7" s="5" customFormat="1" ht="12.75">
      <c r="A431" s="29">
        <f t="shared" si="10"/>
        <v>9.071999999999985</v>
      </c>
      <c r="B431" s="6" t="s">
        <v>668</v>
      </c>
      <c r="C431" s="23" t="s">
        <v>11</v>
      </c>
      <c r="D431" s="10">
        <v>10.8</v>
      </c>
      <c r="E431" s="13"/>
      <c r="F431" s="13"/>
      <c r="G431" s="14"/>
    </row>
    <row r="432" spans="1:7" s="5" customFormat="1" ht="12.75">
      <c r="A432" s="29">
        <f t="shared" si="10"/>
        <v>9.072999999999984</v>
      </c>
      <c r="B432" s="6" t="s">
        <v>669</v>
      </c>
      <c r="C432" s="23" t="s">
        <v>638</v>
      </c>
      <c r="D432" s="10">
        <v>4</v>
      </c>
      <c r="E432" s="13"/>
      <c r="F432" s="13"/>
      <c r="G432" s="14"/>
    </row>
    <row r="433" spans="1:7" s="5" customFormat="1" ht="12.75">
      <c r="A433" s="29">
        <f t="shared" si="10"/>
        <v>9.073999999999984</v>
      </c>
      <c r="B433" s="6" t="s">
        <v>646</v>
      </c>
      <c r="C433" s="23" t="s">
        <v>638</v>
      </c>
      <c r="D433" s="10">
        <v>6</v>
      </c>
      <c r="E433" s="13"/>
      <c r="F433" s="13"/>
      <c r="G433" s="14"/>
    </row>
    <row r="434" spans="1:7" s="5" customFormat="1" ht="12.75">
      <c r="A434" s="29">
        <f t="shared" si="10"/>
        <v>9.074999999999983</v>
      </c>
      <c r="B434" s="6" t="s">
        <v>647</v>
      </c>
      <c r="C434" s="23" t="s">
        <v>11</v>
      </c>
      <c r="D434" s="10">
        <v>3</v>
      </c>
      <c r="E434" s="13"/>
      <c r="F434" s="13"/>
      <c r="G434" s="14"/>
    </row>
    <row r="435" spans="1:7" s="5" customFormat="1" ht="12.75">
      <c r="A435" s="29">
        <f t="shared" si="10"/>
        <v>9.075999999999983</v>
      </c>
      <c r="B435" s="6" t="s">
        <v>648</v>
      </c>
      <c r="C435" s="23" t="s">
        <v>11</v>
      </c>
      <c r="D435" s="10">
        <v>6.4</v>
      </c>
      <c r="E435" s="13"/>
      <c r="F435" s="13"/>
      <c r="G435" s="14"/>
    </row>
    <row r="436" spans="1:7" s="5" customFormat="1" ht="12.75">
      <c r="A436" s="29">
        <f t="shared" si="10"/>
        <v>9.076999999999982</v>
      </c>
      <c r="B436" s="6" t="s">
        <v>670</v>
      </c>
      <c r="C436" s="23" t="s">
        <v>11</v>
      </c>
      <c r="D436" s="10">
        <v>3.2</v>
      </c>
      <c r="E436" s="13"/>
      <c r="F436" s="13"/>
      <c r="G436" s="14"/>
    </row>
    <row r="437" spans="1:7" s="5" customFormat="1" ht="12.75">
      <c r="A437" s="29">
        <f t="shared" si="10"/>
        <v>9.077999999999982</v>
      </c>
      <c r="B437" s="6" t="s">
        <v>671</v>
      </c>
      <c r="C437" s="23" t="s">
        <v>638</v>
      </c>
      <c r="D437" s="10">
        <v>1</v>
      </c>
      <c r="E437" s="13"/>
      <c r="F437" s="13"/>
      <c r="G437" s="14"/>
    </row>
    <row r="438" spans="1:7" s="5" customFormat="1" ht="12.75">
      <c r="A438" s="29">
        <f t="shared" si="10"/>
        <v>9.078999999999981</v>
      </c>
      <c r="B438" s="6" t="s">
        <v>672</v>
      </c>
      <c r="C438" s="23" t="s">
        <v>638</v>
      </c>
      <c r="D438" s="10">
        <v>1</v>
      </c>
      <c r="E438" s="13"/>
      <c r="F438" s="13"/>
      <c r="G438" s="14"/>
    </row>
    <row r="439" spans="1:7" s="5" customFormat="1" ht="12.75">
      <c r="A439" s="29">
        <f t="shared" si="10"/>
        <v>9.07999999999998</v>
      </c>
      <c r="B439" s="6" t="s">
        <v>673</v>
      </c>
      <c r="C439" s="23" t="s">
        <v>638</v>
      </c>
      <c r="D439" s="10">
        <v>1</v>
      </c>
      <c r="E439" s="13"/>
      <c r="F439" s="13"/>
      <c r="G439" s="14"/>
    </row>
    <row r="440" spans="1:7" s="5" customFormat="1" ht="12.75">
      <c r="A440" s="29">
        <f>+A423+0.001</f>
        <v>9.064999999999989</v>
      </c>
      <c r="B440" s="6" t="s">
        <v>382</v>
      </c>
      <c r="C440" s="23" t="s">
        <v>11</v>
      </c>
      <c r="D440" s="10">
        <f>3*4</f>
        <v>12</v>
      </c>
      <c r="E440" s="13"/>
      <c r="F440" s="13"/>
      <c r="G440" s="14"/>
    </row>
    <row r="441" spans="1:7" s="5" customFormat="1" ht="15">
      <c r="A441" s="29"/>
      <c r="B441" s="21" t="s">
        <v>327</v>
      </c>
      <c r="C441" s="23"/>
      <c r="D441" s="10"/>
      <c r="E441" s="13"/>
      <c r="F441" s="13"/>
      <c r="G441" s="14"/>
    </row>
    <row r="442" spans="1:7" s="5" customFormat="1" ht="12.75">
      <c r="A442" s="29">
        <v>9.066</v>
      </c>
      <c r="B442" s="6" t="s">
        <v>330</v>
      </c>
      <c r="C442" s="23" t="s">
        <v>13</v>
      </c>
      <c r="D442" s="10">
        <v>8</v>
      </c>
      <c r="E442" s="13"/>
      <c r="F442" s="13"/>
      <c r="G442" s="14"/>
    </row>
    <row r="443" spans="1:7" s="5" customFormat="1" ht="12.75">
      <c r="A443" s="29">
        <f t="shared" si="10"/>
        <v>9.067</v>
      </c>
      <c r="B443" s="6" t="s">
        <v>331</v>
      </c>
      <c r="C443" s="23" t="s">
        <v>13</v>
      </c>
      <c r="D443" s="10">
        <v>5</v>
      </c>
      <c r="E443" s="13"/>
      <c r="F443" s="13"/>
      <c r="G443" s="14"/>
    </row>
    <row r="444" spans="1:7" s="5" customFormat="1" ht="12.75">
      <c r="A444" s="29">
        <f t="shared" si="10"/>
        <v>9.068</v>
      </c>
      <c r="B444" s="6" t="s">
        <v>332</v>
      </c>
      <c r="C444" s="23" t="s">
        <v>13</v>
      </c>
      <c r="D444" s="10">
        <v>3</v>
      </c>
      <c r="E444" s="13"/>
      <c r="F444" s="13"/>
      <c r="G444" s="14"/>
    </row>
    <row r="445" spans="1:7" s="5" customFormat="1" ht="12.75">
      <c r="A445" s="29">
        <f t="shared" si="10"/>
        <v>9.068999999999999</v>
      </c>
      <c r="B445" s="6" t="s">
        <v>328</v>
      </c>
      <c r="C445" s="23" t="s">
        <v>13</v>
      </c>
      <c r="D445" s="10">
        <v>8</v>
      </c>
      <c r="E445" s="13"/>
      <c r="F445" s="13"/>
      <c r="G445" s="14"/>
    </row>
    <row r="446" spans="1:7" s="5" customFormat="1" ht="12.75">
      <c r="A446" s="29">
        <f t="shared" si="10"/>
        <v>9.069999999999999</v>
      </c>
      <c r="B446" s="6" t="s">
        <v>329</v>
      </c>
      <c r="C446" s="23" t="s">
        <v>13</v>
      </c>
      <c r="D446" s="10">
        <v>4</v>
      </c>
      <c r="E446" s="13"/>
      <c r="F446" s="13"/>
      <c r="G446" s="14"/>
    </row>
    <row r="447" spans="1:7" s="5" customFormat="1" ht="12.75">
      <c r="A447" s="29">
        <f t="shared" si="10"/>
        <v>9.070999999999998</v>
      </c>
      <c r="B447" s="6" t="s">
        <v>333</v>
      </c>
      <c r="C447" s="23" t="s">
        <v>13</v>
      </c>
      <c r="D447" s="10">
        <f>+D445</f>
        <v>8</v>
      </c>
      <c r="E447" s="13"/>
      <c r="F447" s="13"/>
      <c r="G447" s="14"/>
    </row>
    <row r="448" spans="1:7" s="5" customFormat="1" ht="12.75">
      <c r="A448" s="29">
        <f t="shared" si="10"/>
        <v>9.071999999999997</v>
      </c>
      <c r="B448" s="6" t="s">
        <v>334</v>
      </c>
      <c r="C448" s="23" t="s">
        <v>159</v>
      </c>
      <c r="D448" s="10">
        <v>412.54</v>
      </c>
      <c r="E448" s="13"/>
      <c r="F448" s="13"/>
      <c r="G448" s="14"/>
    </row>
    <row r="449" spans="1:7" s="5" customFormat="1" ht="15">
      <c r="A449" s="29"/>
      <c r="B449" s="21" t="s">
        <v>338</v>
      </c>
      <c r="C449" s="23"/>
      <c r="D449" s="10"/>
      <c r="E449" s="13"/>
      <c r="F449" s="13"/>
      <c r="G449" s="14"/>
    </row>
    <row r="450" spans="1:7" s="5" customFormat="1" ht="12.75">
      <c r="A450" s="29">
        <v>9.073</v>
      </c>
      <c r="B450" s="6" t="s">
        <v>336</v>
      </c>
      <c r="C450" s="23" t="s">
        <v>11</v>
      </c>
      <c r="D450" s="10">
        <f>36*1.5</f>
        <v>54</v>
      </c>
      <c r="E450" s="13"/>
      <c r="F450" s="13"/>
      <c r="G450" s="14"/>
    </row>
    <row r="451" spans="1:7" s="5" customFormat="1" ht="12.75">
      <c r="A451" s="29">
        <f t="shared" si="10"/>
        <v>9.074</v>
      </c>
      <c r="B451" s="6" t="s">
        <v>335</v>
      </c>
      <c r="C451" s="23" t="s">
        <v>16</v>
      </c>
      <c r="D451" s="10">
        <v>23.86</v>
      </c>
      <c r="E451" s="13"/>
      <c r="F451" s="13"/>
      <c r="G451" s="14"/>
    </row>
    <row r="452" spans="1:7" s="5" customFormat="1" ht="12.75">
      <c r="A452" s="29">
        <f t="shared" si="10"/>
        <v>9.075</v>
      </c>
      <c r="B452" s="6" t="s">
        <v>337</v>
      </c>
      <c r="C452" s="23" t="s">
        <v>10</v>
      </c>
      <c r="D452" s="10">
        <v>72.2</v>
      </c>
      <c r="E452" s="13"/>
      <c r="F452" s="13"/>
      <c r="G452" s="14"/>
    </row>
    <row r="453" spans="1:7" s="5" customFormat="1" ht="15">
      <c r="A453" s="29"/>
      <c r="B453" s="21" t="s">
        <v>339</v>
      </c>
      <c r="C453" s="23"/>
      <c r="D453" s="10"/>
      <c r="E453" s="13"/>
      <c r="F453" s="13"/>
      <c r="G453" s="14"/>
    </row>
    <row r="454" spans="1:7" s="5" customFormat="1" ht="12.75">
      <c r="A454" s="29">
        <v>9.076</v>
      </c>
      <c r="B454" s="6" t="s">
        <v>342</v>
      </c>
      <c r="C454" s="23" t="s">
        <v>10</v>
      </c>
      <c r="D454" s="10">
        <f>+D385+165</f>
        <v>779.4</v>
      </c>
      <c r="E454" s="13"/>
      <c r="F454" s="13"/>
      <c r="G454" s="14"/>
    </row>
    <row r="455" spans="1:7" s="5" customFormat="1" ht="12.75">
      <c r="A455" s="29">
        <f t="shared" si="10"/>
        <v>9.077</v>
      </c>
      <c r="B455" s="6" t="s">
        <v>340</v>
      </c>
      <c r="C455" s="23" t="s">
        <v>10</v>
      </c>
      <c r="D455" s="10">
        <f>+((D385+D375)*1.07)*0.6</f>
        <v>441.50339999999994</v>
      </c>
      <c r="E455" s="13"/>
      <c r="F455" s="13"/>
      <c r="G455" s="14"/>
    </row>
    <row r="456" spans="1:7" s="5" customFormat="1" ht="12.75">
      <c r="A456" s="29">
        <f t="shared" si="10"/>
        <v>9.078</v>
      </c>
      <c r="B456" s="6" t="s">
        <v>341</v>
      </c>
      <c r="C456" s="23" t="s">
        <v>10</v>
      </c>
      <c r="D456" s="10">
        <f>+D454-D455</f>
        <v>337.89660000000003</v>
      </c>
      <c r="E456" s="13"/>
      <c r="F456" s="13"/>
      <c r="G456" s="14"/>
    </row>
    <row r="457" spans="1:7" s="5" customFormat="1" ht="13.5" thickBot="1">
      <c r="A457" s="29"/>
      <c r="B457" s="6"/>
      <c r="C457" s="23"/>
      <c r="D457" s="10"/>
      <c r="E457" s="13"/>
      <c r="F457" s="13"/>
      <c r="G457" s="14"/>
    </row>
    <row r="458" spans="1:7" s="5" customFormat="1" ht="13.5" thickBot="1">
      <c r="A458" s="29"/>
      <c r="B458" s="6"/>
      <c r="C458" s="23"/>
      <c r="D458" s="10"/>
      <c r="E458" s="71" t="str">
        <f>+B351</f>
        <v>Construcción Área Administrativa </v>
      </c>
      <c r="F458" s="72"/>
      <c r="G458" s="16">
        <f>SUM(F350:F457)</f>
        <v>0</v>
      </c>
    </row>
    <row r="459" spans="1:7" s="5" customFormat="1" ht="13.5" thickBot="1">
      <c r="A459" s="29"/>
      <c r="B459" s="6"/>
      <c r="C459" s="23"/>
      <c r="D459" s="10"/>
      <c r="E459" s="13"/>
      <c r="F459" s="13"/>
      <c r="G459" s="14"/>
    </row>
    <row r="460" spans="1:7" s="5" customFormat="1" ht="16.5" thickBot="1">
      <c r="A460" s="28">
        <v>10</v>
      </c>
      <c r="B460" s="61" t="s">
        <v>343</v>
      </c>
      <c r="C460" s="23"/>
      <c r="D460" s="10"/>
      <c r="E460" s="13"/>
      <c r="F460" s="13"/>
      <c r="G460" s="14"/>
    </row>
    <row r="461" spans="1:7" s="5" customFormat="1" ht="12.75">
      <c r="A461" s="29">
        <f>+A460+0.001</f>
        <v>10.001</v>
      </c>
      <c r="B461" s="6" t="s">
        <v>396</v>
      </c>
      <c r="C461" s="23" t="s">
        <v>10</v>
      </c>
      <c r="D461" s="10">
        <f>19*12</f>
        <v>228</v>
      </c>
      <c r="E461" s="13"/>
      <c r="F461" s="13"/>
      <c r="G461" s="14"/>
    </row>
    <row r="462" spans="1:7" s="5" customFormat="1" ht="15">
      <c r="A462" s="29"/>
      <c r="B462" s="21" t="s">
        <v>265</v>
      </c>
      <c r="C462" s="23"/>
      <c r="D462" s="10"/>
      <c r="E462" s="13"/>
      <c r="F462" s="13"/>
      <c r="G462" s="14"/>
    </row>
    <row r="463" spans="1:7" s="5" customFormat="1" ht="12.75">
      <c r="A463" s="29">
        <f>+A461+0.001</f>
        <v>10.001999999999999</v>
      </c>
      <c r="B463" s="6" t="s">
        <v>266</v>
      </c>
      <c r="C463" s="23" t="s">
        <v>15</v>
      </c>
      <c r="D463" s="10">
        <f>3.45*2+(1.5*2)+(1*4)</f>
        <v>13.9</v>
      </c>
      <c r="E463" s="13"/>
      <c r="F463" s="13"/>
      <c r="G463" s="14"/>
    </row>
    <row r="464" spans="1:7" s="5" customFormat="1" ht="12.75">
      <c r="A464" s="29">
        <f>+A463+0.001</f>
        <v>10.002999999999998</v>
      </c>
      <c r="B464" s="6" t="s">
        <v>264</v>
      </c>
      <c r="C464" s="23" t="s">
        <v>15</v>
      </c>
      <c r="D464" s="10">
        <f>102.62*0.2</f>
        <v>20.524</v>
      </c>
      <c r="E464" s="13"/>
      <c r="F464" s="13"/>
      <c r="G464" s="14"/>
    </row>
    <row r="465" spans="1:7" s="5" customFormat="1" ht="12.75">
      <c r="A465" s="29">
        <f aca="true" t="shared" si="11" ref="A465:A537">+A464+0.001</f>
        <v>10.003999999999998</v>
      </c>
      <c r="B465" s="6" t="s">
        <v>267</v>
      </c>
      <c r="C465" s="23" t="s">
        <v>15</v>
      </c>
      <c r="D465" s="10">
        <f>1*1*1*2</f>
        <v>2</v>
      </c>
      <c r="E465" s="13"/>
      <c r="F465" s="13"/>
      <c r="G465" s="14"/>
    </row>
    <row r="466" spans="1:7" s="5" customFormat="1" ht="12.75">
      <c r="A466" s="29">
        <f t="shared" si="11"/>
        <v>10.004999999999997</v>
      </c>
      <c r="B466" s="6" t="s">
        <v>268</v>
      </c>
      <c r="C466" s="23" t="s">
        <v>15</v>
      </c>
      <c r="D466" s="10">
        <f>1.3*1.3*2</f>
        <v>3.3800000000000003</v>
      </c>
      <c r="E466" s="13"/>
      <c r="F466" s="13"/>
      <c r="G466" s="14"/>
    </row>
    <row r="467" spans="1:7" s="5" customFormat="1" ht="12.75">
      <c r="A467" s="29">
        <f t="shared" si="11"/>
        <v>10.005999999999997</v>
      </c>
      <c r="B467" s="6" t="s">
        <v>269</v>
      </c>
      <c r="C467" s="23" t="s">
        <v>50</v>
      </c>
      <c r="D467" s="10">
        <f>SUM(D463:D466)*1.35</f>
        <v>53.735400000000006</v>
      </c>
      <c r="E467" s="13"/>
      <c r="F467" s="13"/>
      <c r="G467" s="14"/>
    </row>
    <row r="468" spans="1:7" s="5" customFormat="1" ht="12.75">
      <c r="A468" s="29">
        <f t="shared" si="11"/>
        <v>10.006999999999996</v>
      </c>
      <c r="B468" s="6" t="s">
        <v>270</v>
      </c>
      <c r="C468" s="23" t="s">
        <v>16</v>
      </c>
      <c r="D468" s="10">
        <f>+D467*0.35</f>
        <v>18.80739</v>
      </c>
      <c r="E468" s="13"/>
      <c r="F468" s="13"/>
      <c r="G468" s="14"/>
    </row>
    <row r="469" spans="1:7" s="5" customFormat="1" ht="15">
      <c r="A469" s="29"/>
      <c r="B469" s="21" t="s">
        <v>271</v>
      </c>
      <c r="C469" s="23"/>
      <c r="D469" s="10"/>
      <c r="E469" s="13"/>
      <c r="F469" s="13"/>
      <c r="G469" s="14"/>
    </row>
    <row r="470" spans="1:7" s="5" customFormat="1" ht="12.75">
      <c r="A470" s="29">
        <v>10.008</v>
      </c>
      <c r="B470" s="6" t="s">
        <v>476</v>
      </c>
      <c r="C470" s="23" t="s">
        <v>0</v>
      </c>
      <c r="D470" s="10">
        <f>102.62*0.3</f>
        <v>30.786</v>
      </c>
      <c r="E470" s="13"/>
      <c r="F470" s="13"/>
      <c r="G470" s="14"/>
    </row>
    <row r="471" spans="1:7" s="5" customFormat="1" ht="12.75">
      <c r="A471" s="29">
        <f t="shared" si="11"/>
        <v>10.008999999999999</v>
      </c>
      <c r="B471" s="6" t="s">
        <v>273</v>
      </c>
      <c r="C471" s="23" t="s">
        <v>0</v>
      </c>
      <c r="D471" s="10">
        <f>23.8*0.6*0.3</f>
        <v>4.284</v>
      </c>
      <c r="E471" s="13"/>
      <c r="F471" s="13"/>
      <c r="G471" s="14"/>
    </row>
    <row r="472" spans="1:7" s="5" customFormat="1" ht="12.75">
      <c r="A472" s="29">
        <f t="shared" si="11"/>
        <v>10.009999999999998</v>
      </c>
      <c r="B472" s="6" t="s">
        <v>275</v>
      </c>
      <c r="C472" s="23" t="s">
        <v>0</v>
      </c>
      <c r="D472" s="10">
        <f>1*1*0.3*2</f>
        <v>0.6</v>
      </c>
      <c r="E472" s="13"/>
      <c r="F472" s="13"/>
      <c r="G472" s="14"/>
    </row>
    <row r="473" spans="1:7" s="5" customFormat="1" ht="12.75">
      <c r="A473" s="29">
        <f t="shared" si="11"/>
        <v>10.010999999999997</v>
      </c>
      <c r="B473" s="6" t="s">
        <v>274</v>
      </c>
      <c r="C473" s="23" t="s">
        <v>0</v>
      </c>
      <c r="D473" s="10">
        <f>1.3*1.3*0.3*4</f>
        <v>2.028</v>
      </c>
      <c r="E473" s="13"/>
      <c r="F473" s="13"/>
      <c r="G473" s="14"/>
    </row>
    <row r="474" spans="1:7" s="5" customFormat="1" ht="15">
      <c r="A474" s="29"/>
      <c r="B474" s="21" t="s">
        <v>388</v>
      </c>
      <c r="C474" s="23"/>
      <c r="D474" s="10"/>
      <c r="E474" s="13"/>
      <c r="F474" s="13"/>
      <c r="G474" s="14"/>
    </row>
    <row r="475" spans="1:7" s="5" customFormat="1" ht="12.75">
      <c r="A475" s="29">
        <v>10.012</v>
      </c>
      <c r="B475" s="6" t="s">
        <v>276</v>
      </c>
      <c r="C475" s="23" t="s">
        <v>0</v>
      </c>
      <c r="D475" s="10">
        <f>2*0.8*0.2*3.2</f>
        <v>1.0240000000000002</v>
      </c>
      <c r="E475" s="13"/>
      <c r="F475" s="13"/>
      <c r="G475" s="14"/>
    </row>
    <row r="476" spans="1:7" s="5" customFormat="1" ht="12.75">
      <c r="A476" s="29">
        <f t="shared" si="11"/>
        <v>10.013</v>
      </c>
      <c r="B476" s="6" t="s">
        <v>277</v>
      </c>
      <c r="C476" s="23" t="s">
        <v>0</v>
      </c>
      <c r="D476" s="10">
        <f>0.22*3.2*3</f>
        <v>2.112</v>
      </c>
      <c r="E476" s="13"/>
      <c r="F476" s="13"/>
      <c r="G476" s="14"/>
    </row>
    <row r="477" spans="1:7" s="5" customFormat="1" ht="12.75">
      <c r="A477" s="29">
        <f t="shared" si="11"/>
        <v>10.014</v>
      </c>
      <c r="B477" s="6" t="s">
        <v>278</v>
      </c>
      <c r="C477" s="23" t="s">
        <v>0</v>
      </c>
      <c r="D477" s="10">
        <f>32*0.2*0.2*3.3</f>
        <v>4.224</v>
      </c>
      <c r="E477" s="13"/>
      <c r="F477" s="13"/>
      <c r="G477" s="14"/>
    </row>
    <row r="478" spans="1:7" s="5" customFormat="1" ht="12.75">
      <c r="A478" s="29">
        <f t="shared" si="11"/>
        <v>10.014999999999999</v>
      </c>
      <c r="B478" s="6" t="s">
        <v>260</v>
      </c>
      <c r="C478" s="23" t="s">
        <v>0</v>
      </c>
      <c r="D478" s="10">
        <f>0.3*0.3*8*3.8</f>
        <v>2.7359999999999998</v>
      </c>
      <c r="E478" s="13"/>
      <c r="F478" s="13"/>
      <c r="G478" s="14"/>
    </row>
    <row r="479" spans="1:7" s="5" customFormat="1" ht="12.75">
      <c r="A479" s="29">
        <f t="shared" si="11"/>
        <v>10.015999999999998</v>
      </c>
      <c r="B479" s="6" t="s">
        <v>261</v>
      </c>
      <c r="C479" s="23" t="s">
        <v>0</v>
      </c>
      <c r="D479" s="10">
        <f>30*0.4*0.3*3.2</f>
        <v>11.52</v>
      </c>
      <c r="E479" s="13"/>
      <c r="F479" s="13"/>
      <c r="G479" s="14"/>
    </row>
    <row r="480" spans="1:7" s="5" customFormat="1" ht="12.75">
      <c r="A480" s="29">
        <f t="shared" si="11"/>
        <v>10.016999999999998</v>
      </c>
      <c r="B480" s="6" t="s">
        <v>279</v>
      </c>
      <c r="C480" s="23" t="s">
        <v>0</v>
      </c>
      <c r="D480" s="10">
        <f>6.8*2*0.2*0.5</f>
        <v>1.36</v>
      </c>
      <c r="E480" s="13"/>
      <c r="F480" s="13"/>
      <c r="G480" s="14"/>
    </row>
    <row r="481" spans="1:7" s="5" customFormat="1" ht="12.75">
      <c r="A481" s="29">
        <f t="shared" si="11"/>
        <v>10.017999999999997</v>
      </c>
      <c r="B481" s="6" t="s">
        <v>282</v>
      </c>
      <c r="C481" s="23" t="s">
        <v>0</v>
      </c>
      <c r="D481" s="10">
        <f>0.76*0.3+(1.7*2)</f>
        <v>3.628</v>
      </c>
      <c r="E481" s="13"/>
      <c r="F481" s="13"/>
      <c r="G481" s="14"/>
    </row>
    <row r="482" spans="1:7" s="5" customFormat="1" ht="12.75">
      <c r="A482" s="29">
        <f t="shared" si="11"/>
        <v>10.018999999999997</v>
      </c>
      <c r="B482" s="6" t="s">
        <v>283</v>
      </c>
      <c r="C482" s="23" t="s">
        <v>0</v>
      </c>
      <c r="D482" s="10">
        <f>0.3*0.94*(3.6*2)</f>
        <v>2.0303999999999998</v>
      </c>
      <c r="E482" s="13"/>
      <c r="F482" s="13"/>
      <c r="G482" s="14"/>
    </row>
    <row r="483" spans="1:7" s="5" customFormat="1" ht="12.75">
      <c r="A483" s="29">
        <f t="shared" si="11"/>
        <v>10.019999999999996</v>
      </c>
      <c r="B483" s="6" t="s">
        <v>284</v>
      </c>
      <c r="C483" s="23" t="s">
        <v>0</v>
      </c>
      <c r="D483" s="10">
        <f>0.42*0.3*8.6</f>
        <v>1.0836</v>
      </c>
      <c r="E483" s="13"/>
      <c r="F483" s="13"/>
      <c r="G483" s="14"/>
    </row>
    <row r="484" spans="1:7" s="5" customFormat="1" ht="12.75">
      <c r="A484" s="29">
        <f t="shared" si="11"/>
        <v>10.020999999999995</v>
      </c>
      <c r="B484" s="6" t="s">
        <v>285</v>
      </c>
      <c r="C484" s="23" t="s">
        <v>0</v>
      </c>
      <c r="D484" s="10">
        <f>0.2*0.62*(3.85*2)*3</f>
        <v>2.8644</v>
      </c>
      <c r="E484" s="13"/>
      <c r="F484" s="13"/>
      <c r="G484" s="14"/>
    </row>
    <row r="485" spans="1:7" s="5" customFormat="1" ht="12.75">
      <c r="A485" s="29">
        <f t="shared" si="11"/>
        <v>10.021999999999995</v>
      </c>
      <c r="B485" s="6" t="s">
        <v>281</v>
      </c>
      <c r="C485" s="23" t="s">
        <v>0</v>
      </c>
      <c r="D485" s="10">
        <f>0.2*0.6*18.8</f>
        <v>2.256</v>
      </c>
      <c r="E485" s="13"/>
      <c r="F485" s="13"/>
      <c r="G485" s="14"/>
    </row>
    <row r="486" spans="1:7" s="5" customFormat="1" ht="12.75">
      <c r="A486" s="29">
        <f t="shared" si="11"/>
        <v>10.022999999999994</v>
      </c>
      <c r="B486" s="6" t="s">
        <v>286</v>
      </c>
      <c r="C486" s="23" t="s">
        <v>0</v>
      </c>
      <c r="D486" s="10">
        <f>15.5*0.426*0.3</f>
        <v>1.9808999999999999</v>
      </c>
      <c r="E486" s="13"/>
      <c r="F486" s="13"/>
      <c r="G486" s="14"/>
    </row>
    <row r="487" spans="1:7" s="5" customFormat="1" ht="12.75">
      <c r="A487" s="29">
        <f t="shared" si="11"/>
        <v>10.023999999999994</v>
      </c>
      <c r="B487" s="6" t="s">
        <v>287</v>
      </c>
      <c r="C487" s="23" t="s">
        <v>0</v>
      </c>
      <c r="D487" s="10">
        <f>3*0.762*0.3</f>
        <v>0.6858</v>
      </c>
      <c r="E487" s="13"/>
      <c r="F487" s="13"/>
      <c r="G487" s="14"/>
    </row>
    <row r="488" spans="1:7" s="5" customFormat="1" ht="12.75">
      <c r="A488" s="29">
        <f t="shared" si="11"/>
        <v>10.024999999999993</v>
      </c>
      <c r="B488" s="6" t="s">
        <v>280</v>
      </c>
      <c r="C488" s="23" t="s">
        <v>0</v>
      </c>
      <c r="D488" s="10">
        <f>5.7*4*0.2*0.4</f>
        <v>1.8240000000000003</v>
      </c>
      <c r="E488" s="13"/>
      <c r="F488" s="13"/>
      <c r="G488" s="14"/>
    </row>
    <row r="489" spans="1:7" s="5" customFormat="1" ht="12.75">
      <c r="A489" s="29">
        <f t="shared" si="11"/>
        <v>10.025999999999993</v>
      </c>
      <c r="B489" s="6" t="s">
        <v>402</v>
      </c>
      <c r="C489" s="23" t="s">
        <v>0</v>
      </c>
      <c r="D489" s="10">
        <f>+D491*0.12</f>
        <v>15.168</v>
      </c>
      <c r="E489" s="13"/>
      <c r="F489" s="13"/>
      <c r="G489" s="14"/>
    </row>
    <row r="490" spans="1:7" s="5" customFormat="1" ht="15">
      <c r="A490" s="29"/>
      <c r="B490" s="21" t="s">
        <v>288</v>
      </c>
      <c r="C490" s="23"/>
      <c r="D490" s="10"/>
      <c r="E490" s="13"/>
      <c r="F490" s="13"/>
      <c r="G490" s="14"/>
    </row>
    <row r="491" spans="1:7" s="5" customFormat="1" ht="12.75">
      <c r="A491" s="29">
        <v>10.027</v>
      </c>
      <c r="B491" s="6" t="s">
        <v>289</v>
      </c>
      <c r="C491" s="23" t="s">
        <v>10</v>
      </c>
      <c r="D491" s="10">
        <v>126.4</v>
      </c>
      <c r="E491" s="13"/>
      <c r="F491" s="13"/>
      <c r="G491" s="14"/>
    </row>
    <row r="492" spans="1:7" s="5" customFormat="1" ht="12.75">
      <c r="A492" s="29">
        <f t="shared" si="11"/>
        <v>10.027999999999999</v>
      </c>
      <c r="B492" s="6" t="s">
        <v>290</v>
      </c>
      <c r="C492" s="23" t="s">
        <v>11</v>
      </c>
      <c r="D492" s="10">
        <v>98.42</v>
      </c>
      <c r="E492" s="13"/>
      <c r="F492" s="13"/>
      <c r="G492" s="14"/>
    </row>
    <row r="493" spans="1:7" s="5" customFormat="1" ht="12.75">
      <c r="A493" s="29">
        <f t="shared" si="11"/>
        <v>10.028999999999998</v>
      </c>
      <c r="B493" s="6" t="s">
        <v>291</v>
      </c>
      <c r="C493" s="23" t="s">
        <v>10</v>
      </c>
      <c r="D493" s="10">
        <f>+D491</f>
        <v>126.4</v>
      </c>
      <c r="E493" s="13"/>
      <c r="F493" s="13"/>
      <c r="G493" s="14"/>
    </row>
    <row r="494" spans="1:7" s="5" customFormat="1" ht="15">
      <c r="A494" s="29"/>
      <c r="B494" s="21" t="s">
        <v>296</v>
      </c>
      <c r="C494" s="23"/>
      <c r="D494" s="10"/>
      <c r="E494" s="13"/>
      <c r="F494" s="13"/>
      <c r="G494" s="14"/>
    </row>
    <row r="495" spans="1:7" s="5" customFormat="1" ht="12.75">
      <c r="A495" s="29">
        <v>10.03</v>
      </c>
      <c r="B495" s="6" t="s">
        <v>297</v>
      </c>
      <c r="C495" s="23" t="s">
        <v>10</v>
      </c>
      <c r="D495" s="10">
        <f>9.8*4+(9.2*4)+(0.65*4)</f>
        <v>78.6</v>
      </c>
      <c r="E495" s="13"/>
      <c r="F495" s="13"/>
      <c r="G495" s="14"/>
    </row>
    <row r="496" spans="1:7" s="5" customFormat="1" ht="12.75">
      <c r="A496" s="29">
        <f t="shared" si="11"/>
        <v>10.030999999999999</v>
      </c>
      <c r="B496" s="6" t="s">
        <v>298</v>
      </c>
      <c r="C496" s="23" t="s">
        <v>10</v>
      </c>
      <c r="D496" s="10">
        <v>65.2</v>
      </c>
      <c r="E496" s="13"/>
      <c r="F496" s="13"/>
      <c r="G496" s="14"/>
    </row>
    <row r="497" spans="1:7" s="5" customFormat="1" ht="15">
      <c r="A497" s="29"/>
      <c r="B497" s="21" t="s">
        <v>674</v>
      </c>
      <c r="C497" s="23"/>
      <c r="D497" s="10"/>
      <c r="E497" s="13"/>
      <c r="F497" s="13"/>
      <c r="G497" s="14"/>
    </row>
    <row r="498" spans="1:7" s="5" customFormat="1" ht="12.75">
      <c r="A498" s="29">
        <v>10.032</v>
      </c>
      <c r="B498" s="6" t="s">
        <v>262</v>
      </c>
      <c r="C498" s="23" t="s">
        <v>10</v>
      </c>
      <c r="D498" s="10">
        <f>143.8*2</f>
        <v>287.6</v>
      </c>
      <c r="E498" s="13"/>
      <c r="F498" s="13"/>
      <c r="G498" s="14"/>
    </row>
    <row r="499" spans="1:7" s="5" customFormat="1" ht="12.75">
      <c r="A499" s="29">
        <f t="shared" si="11"/>
        <v>10.033</v>
      </c>
      <c r="B499" s="6" t="s">
        <v>293</v>
      </c>
      <c r="C499" s="23" t="s">
        <v>10</v>
      </c>
      <c r="D499" s="10">
        <f>+D498</f>
        <v>287.6</v>
      </c>
      <c r="E499" s="13"/>
      <c r="F499" s="13"/>
      <c r="G499" s="14"/>
    </row>
    <row r="500" spans="1:7" s="5" customFormat="1" ht="12.75">
      <c r="A500" s="29">
        <f t="shared" si="11"/>
        <v>10.033999999999999</v>
      </c>
      <c r="B500" s="18" t="s">
        <v>309</v>
      </c>
      <c r="C500" s="23" t="s">
        <v>11</v>
      </c>
      <c r="D500" s="10">
        <v>360</v>
      </c>
      <c r="E500" s="13"/>
      <c r="F500" s="13"/>
      <c r="G500" s="14"/>
    </row>
    <row r="501" spans="1:7" s="5" customFormat="1" ht="12.75">
      <c r="A501" s="29">
        <f t="shared" si="11"/>
        <v>10.034999999999998</v>
      </c>
      <c r="B501" s="6" t="s">
        <v>294</v>
      </c>
      <c r="C501" s="23" t="s">
        <v>10</v>
      </c>
      <c r="D501" s="10">
        <f>60*1.8</f>
        <v>108</v>
      </c>
      <c r="E501" s="13"/>
      <c r="F501" s="13"/>
      <c r="G501" s="14"/>
    </row>
    <row r="502" spans="1:7" s="5" customFormat="1" ht="12.75">
      <c r="A502" s="29">
        <f t="shared" si="11"/>
        <v>10.035999999999998</v>
      </c>
      <c r="B502" s="6" t="s">
        <v>782</v>
      </c>
      <c r="C502" s="23" t="s">
        <v>10</v>
      </c>
      <c r="D502" s="10">
        <v>70</v>
      </c>
      <c r="E502" s="13"/>
      <c r="F502" s="13"/>
      <c r="G502" s="14"/>
    </row>
    <row r="503" spans="1:7" s="5" customFormat="1" ht="12.75">
      <c r="A503" s="29">
        <f t="shared" si="11"/>
        <v>10.036999999999997</v>
      </c>
      <c r="B503" s="6" t="s">
        <v>299</v>
      </c>
      <c r="C503" s="23" t="s">
        <v>10</v>
      </c>
      <c r="D503" s="10">
        <v>38.02</v>
      </c>
      <c r="E503" s="13"/>
      <c r="F503" s="13"/>
      <c r="G503" s="14"/>
    </row>
    <row r="504" spans="1:7" s="5" customFormat="1" ht="12.75">
      <c r="A504" s="29">
        <f t="shared" si="11"/>
        <v>10.037999999999997</v>
      </c>
      <c r="B504" s="6" t="s">
        <v>300</v>
      </c>
      <c r="C504" s="23" t="s">
        <v>11</v>
      </c>
      <c r="D504" s="10">
        <f>9.2*6</f>
        <v>55.199999999999996</v>
      </c>
      <c r="E504" s="13"/>
      <c r="F504" s="13"/>
      <c r="G504" s="14"/>
    </row>
    <row r="505" spans="1:7" s="5" customFormat="1" ht="12.75">
      <c r="A505" s="29">
        <f t="shared" si="11"/>
        <v>10.038999999999996</v>
      </c>
      <c r="B505" s="6" t="s">
        <v>661</v>
      </c>
      <c r="C505" s="23" t="s">
        <v>638</v>
      </c>
      <c r="D505" s="10">
        <v>1</v>
      </c>
      <c r="E505" s="13"/>
      <c r="F505" s="13"/>
      <c r="G505" s="14"/>
    </row>
    <row r="506" spans="1:7" s="5" customFormat="1" ht="25.5">
      <c r="A506" s="29">
        <f t="shared" si="11"/>
        <v>10.039999999999996</v>
      </c>
      <c r="B506" s="6" t="s">
        <v>675</v>
      </c>
      <c r="C506" s="23" t="s">
        <v>677</v>
      </c>
      <c r="D506" s="10">
        <v>0.93</v>
      </c>
      <c r="E506" s="13"/>
      <c r="F506" s="13"/>
      <c r="G506" s="14"/>
    </row>
    <row r="507" spans="1:7" s="5" customFormat="1" ht="12.75">
      <c r="A507" s="29">
        <f t="shared" si="11"/>
        <v>10.040999999999995</v>
      </c>
      <c r="B507" s="6" t="s">
        <v>663</v>
      </c>
      <c r="C507" s="23" t="s">
        <v>11</v>
      </c>
      <c r="D507" s="10">
        <v>2</v>
      </c>
      <c r="E507" s="13"/>
      <c r="F507" s="13"/>
      <c r="G507" s="14"/>
    </row>
    <row r="508" spans="1:7" s="5" customFormat="1" ht="12.75">
      <c r="A508" s="29">
        <f t="shared" si="11"/>
        <v>10.041999999999994</v>
      </c>
      <c r="B508" s="6" t="s">
        <v>664</v>
      </c>
      <c r="C508" s="23" t="s">
        <v>11</v>
      </c>
      <c r="D508" s="10">
        <v>3.8</v>
      </c>
      <c r="E508" s="13"/>
      <c r="F508" s="13"/>
      <c r="G508" s="14"/>
    </row>
    <row r="509" spans="1:7" s="5" customFormat="1" ht="12.75">
      <c r="A509" s="29">
        <f t="shared" si="11"/>
        <v>10.042999999999994</v>
      </c>
      <c r="B509" s="6" t="s">
        <v>676</v>
      </c>
      <c r="C509" s="23" t="s">
        <v>11</v>
      </c>
      <c r="D509" s="10">
        <v>2</v>
      </c>
      <c r="E509" s="13"/>
      <c r="F509" s="13"/>
      <c r="G509" s="14"/>
    </row>
    <row r="510" spans="1:7" s="5" customFormat="1" ht="12.75">
      <c r="A510" s="29">
        <f t="shared" si="11"/>
        <v>10.043999999999993</v>
      </c>
      <c r="B510" s="6" t="s">
        <v>668</v>
      </c>
      <c r="C510" s="23" t="s">
        <v>11</v>
      </c>
      <c r="D510" s="10">
        <v>4.3</v>
      </c>
      <c r="E510" s="13"/>
      <c r="F510" s="13"/>
      <c r="G510" s="14"/>
    </row>
    <row r="511" spans="1:7" s="5" customFormat="1" ht="12.75">
      <c r="A511" s="29">
        <f t="shared" si="11"/>
        <v>10.044999999999993</v>
      </c>
      <c r="B511" s="6" t="s">
        <v>646</v>
      </c>
      <c r="C511" s="23" t="s">
        <v>638</v>
      </c>
      <c r="D511" s="10">
        <v>1</v>
      </c>
      <c r="E511" s="13"/>
      <c r="F511" s="13"/>
      <c r="G511" s="14"/>
    </row>
    <row r="512" spans="1:7" s="5" customFormat="1" ht="12.75">
      <c r="A512" s="29">
        <f t="shared" si="11"/>
        <v>10.045999999999992</v>
      </c>
      <c r="B512" s="6" t="s">
        <v>672</v>
      </c>
      <c r="C512" s="23" t="s">
        <v>638</v>
      </c>
      <c r="D512" s="10">
        <v>1</v>
      </c>
      <c r="E512" s="13"/>
      <c r="F512" s="13"/>
      <c r="G512" s="14"/>
    </row>
    <row r="513" spans="1:7" s="5" customFormat="1" ht="12.75">
      <c r="A513" s="29">
        <f t="shared" si="11"/>
        <v>10.046999999999992</v>
      </c>
      <c r="B513" s="6" t="s">
        <v>654</v>
      </c>
      <c r="C513" s="23" t="s">
        <v>655</v>
      </c>
      <c r="D513" s="10">
        <v>1</v>
      </c>
      <c r="E513" s="13"/>
      <c r="F513" s="13"/>
      <c r="G513" s="14"/>
    </row>
    <row r="514" spans="1:7" s="5" customFormat="1" ht="15">
      <c r="A514" s="29"/>
      <c r="B514" s="21" t="s">
        <v>316</v>
      </c>
      <c r="C514" s="23"/>
      <c r="D514" s="10"/>
      <c r="E514" s="13"/>
      <c r="F514" s="13"/>
      <c r="G514" s="14"/>
    </row>
    <row r="515" spans="1:7" s="5" customFormat="1" ht="12.75">
      <c r="A515" s="29">
        <v>10.039</v>
      </c>
      <c r="B515" s="6" t="s">
        <v>317</v>
      </c>
      <c r="C515" s="23" t="s">
        <v>10</v>
      </c>
      <c r="D515" s="10">
        <v>146.8</v>
      </c>
      <c r="E515" s="13"/>
      <c r="F515" s="13"/>
      <c r="G515" s="14"/>
    </row>
    <row r="516" spans="1:7" s="5" customFormat="1" ht="12.75">
      <c r="A516" s="29">
        <f t="shared" si="11"/>
        <v>10.04</v>
      </c>
      <c r="B516" s="6" t="s">
        <v>359</v>
      </c>
      <c r="C516" s="23" t="s">
        <v>11</v>
      </c>
      <c r="D516" s="10">
        <v>75.52</v>
      </c>
      <c r="E516" s="13"/>
      <c r="F516" s="13"/>
      <c r="G516" s="14"/>
    </row>
    <row r="517" spans="1:7" s="5" customFormat="1" ht="12.75">
      <c r="A517" s="29">
        <f t="shared" si="11"/>
        <v>10.040999999999999</v>
      </c>
      <c r="B517" s="6" t="s">
        <v>358</v>
      </c>
      <c r="C517" s="23" t="s">
        <v>11</v>
      </c>
      <c r="D517" s="10">
        <f>8*9.5*2</f>
        <v>152</v>
      </c>
      <c r="E517" s="13"/>
      <c r="F517" s="13"/>
      <c r="G517" s="14"/>
    </row>
    <row r="518" spans="1:7" s="5" customFormat="1" ht="12.75">
      <c r="A518" s="29">
        <f t="shared" si="11"/>
        <v>10.041999999999998</v>
      </c>
      <c r="B518" s="6" t="s">
        <v>320</v>
      </c>
      <c r="C518" s="23" t="s">
        <v>11</v>
      </c>
      <c r="D518" s="10">
        <f>9.2*4</f>
        <v>36.8</v>
      </c>
      <c r="E518" s="13"/>
      <c r="F518" s="13"/>
      <c r="G518" s="14"/>
    </row>
    <row r="519" spans="1:7" s="5" customFormat="1" ht="12.75">
      <c r="A519" s="29">
        <f t="shared" si="11"/>
        <v>10.042999999999997</v>
      </c>
      <c r="B519" s="6" t="s">
        <v>318</v>
      </c>
      <c r="C519" s="23" t="s">
        <v>319</v>
      </c>
      <c r="D519" s="10">
        <v>1</v>
      </c>
      <c r="E519" s="13"/>
      <c r="F519" s="13"/>
      <c r="G519" s="14"/>
    </row>
    <row r="520" spans="1:7" s="5" customFormat="1" ht="15">
      <c r="A520" s="29"/>
      <c r="B520" s="21" t="s">
        <v>322</v>
      </c>
      <c r="C520" s="23"/>
      <c r="D520" s="10"/>
      <c r="E520" s="13"/>
      <c r="F520" s="13"/>
      <c r="G520" s="14"/>
    </row>
    <row r="521" spans="1:7" s="5" customFormat="1" ht="12.75">
      <c r="A521" s="29">
        <v>10.044</v>
      </c>
      <c r="B521" s="6" t="s">
        <v>325</v>
      </c>
      <c r="C521" s="23" t="s">
        <v>10</v>
      </c>
      <c r="D521" s="10">
        <v>196</v>
      </c>
      <c r="E521" s="13"/>
      <c r="F521" s="13"/>
      <c r="G521" s="14"/>
    </row>
    <row r="522" spans="1:7" s="5" customFormat="1" ht="12.75">
      <c r="A522" s="29">
        <f t="shared" si="11"/>
        <v>10.045</v>
      </c>
      <c r="B522" s="6" t="s">
        <v>323</v>
      </c>
      <c r="C522" s="23" t="s">
        <v>11</v>
      </c>
      <c r="D522" s="10">
        <v>227.7</v>
      </c>
      <c r="E522" s="13"/>
      <c r="F522" s="13"/>
      <c r="G522" s="14"/>
    </row>
    <row r="523" spans="1:7" s="5" customFormat="1" ht="12.75">
      <c r="A523" s="29">
        <f t="shared" si="11"/>
        <v>10.046</v>
      </c>
      <c r="B523" s="6" t="s">
        <v>326</v>
      </c>
      <c r="C523" s="23" t="s">
        <v>10</v>
      </c>
      <c r="D523" s="10">
        <f>+D521+(D524*0.07)</f>
        <v>207.83</v>
      </c>
      <c r="E523" s="13"/>
      <c r="F523" s="13"/>
      <c r="G523" s="14"/>
    </row>
    <row r="524" spans="1:7" s="5" customFormat="1" ht="12.75">
      <c r="A524" s="29">
        <f t="shared" si="11"/>
        <v>10.046999999999999</v>
      </c>
      <c r="B524" s="6" t="s">
        <v>324</v>
      </c>
      <c r="C524" s="23" t="s">
        <v>11</v>
      </c>
      <c r="D524" s="10">
        <f>144+25</f>
        <v>169</v>
      </c>
      <c r="E524" s="13"/>
      <c r="F524" s="13"/>
      <c r="G524" s="14"/>
    </row>
    <row r="525" spans="1:7" s="5" customFormat="1" ht="15">
      <c r="A525" s="29"/>
      <c r="B525" s="21" t="s">
        <v>327</v>
      </c>
      <c r="C525" s="23"/>
      <c r="D525" s="10"/>
      <c r="E525" s="13"/>
      <c r="F525" s="13"/>
      <c r="G525" s="14"/>
    </row>
    <row r="526" spans="1:7" s="5" customFormat="1" ht="12.75">
      <c r="A526" s="29">
        <v>10.048</v>
      </c>
      <c r="B526" s="6" t="s">
        <v>330</v>
      </c>
      <c r="C526" s="23" t="s">
        <v>13</v>
      </c>
      <c r="D526" s="10">
        <v>2</v>
      </c>
      <c r="E526" s="13"/>
      <c r="F526" s="13"/>
      <c r="G526" s="14"/>
    </row>
    <row r="527" spans="1:7" s="5" customFormat="1" ht="12.75">
      <c r="A527" s="29">
        <f t="shared" si="11"/>
        <v>10.049</v>
      </c>
      <c r="B527" s="6" t="s">
        <v>331</v>
      </c>
      <c r="C527" s="23" t="s">
        <v>13</v>
      </c>
      <c r="D527" s="10">
        <v>1</v>
      </c>
      <c r="E527" s="13"/>
      <c r="F527" s="13"/>
      <c r="G527" s="14"/>
    </row>
    <row r="528" spans="1:7" s="5" customFormat="1" ht="12.75">
      <c r="A528" s="29">
        <f t="shared" si="11"/>
        <v>10.049999999999999</v>
      </c>
      <c r="B528" s="6" t="s">
        <v>332</v>
      </c>
      <c r="C528" s="23" t="s">
        <v>13</v>
      </c>
      <c r="D528" s="10">
        <v>1</v>
      </c>
      <c r="E528" s="13"/>
      <c r="F528" s="13"/>
      <c r="G528" s="14"/>
    </row>
    <row r="529" spans="1:7" s="5" customFormat="1" ht="12.75">
      <c r="A529" s="29">
        <f t="shared" si="11"/>
        <v>10.050999999999998</v>
      </c>
      <c r="B529" s="6" t="s">
        <v>329</v>
      </c>
      <c r="C529" s="23" t="s">
        <v>13</v>
      </c>
      <c r="D529" s="10">
        <v>4</v>
      </c>
      <c r="E529" s="13"/>
      <c r="F529" s="13"/>
      <c r="G529" s="14"/>
    </row>
    <row r="530" spans="1:7" s="5" customFormat="1" ht="12.75">
      <c r="A530" s="29">
        <f t="shared" si="11"/>
        <v>10.051999999999998</v>
      </c>
      <c r="B530" s="6" t="s">
        <v>334</v>
      </c>
      <c r="C530" s="23" t="s">
        <v>159</v>
      </c>
      <c r="D530" s="10">
        <f>(47.65*10.76)*1.05</f>
        <v>538.3497</v>
      </c>
      <c r="E530" s="13"/>
      <c r="F530" s="13"/>
      <c r="G530" s="14"/>
    </row>
    <row r="531" spans="1:7" s="5" customFormat="1" ht="15">
      <c r="A531" s="29"/>
      <c r="B531" s="21" t="s">
        <v>338</v>
      </c>
      <c r="C531" s="23"/>
      <c r="D531" s="10"/>
      <c r="E531" s="13"/>
      <c r="F531" s="13"/>
      <c r="G531" s="14"/>
    </row>
    <row r="532" spans="1:7" s="5" customFormat="1" ht="12.75">
      <c r="A532" s="29">
        <v>10.053</v>
      </c>
      <c r="B532" s="6" t="s">
        <v>336</v>
      </c>
      <c r="C532" s="23" t="s">
        <v>11</v>
      </c>
      <c r="D532" s="10">
        <f>42*1.5</f>
        <v>63</v>
      </c>
      <c r="E532" s="13"/>
      <c r="F532" s="13"/>
      <c r="G532" s="14"/>
    </row>
    <row r="533" spans="1:7" s="5" customFormat="1" ht="12.75">
      <c r="A533" s="29">
        <f t="shared" si="11"/>
        <v>10.054</v>
      </c>
      <c r="B533" s="6" t="s">
        <v>335</v>
      </c>
      <c r="C533" s="23" t="s">
        <v>16</v>
      </c>
      <c r="D533" s="10">
        <f>54*1.2*0.3</f>
        <v>19.439999999999998</v>
      </c>
      <c r="E533" s="13"/>
      <c r="F533" s="13"/>
      <c r="G533" s="14"/>
    </row>
    <row r="534" spans="1:7" s="5" customFormat="1" ht="12.75">
      <c r="A534" s="29">
        <f t="shared" si="11"/>
        <v>10.055</v>
      </c>
      <c r="B534" s="6" t="s">
        <v>337</v>
      </c>
      <c r="C534" s="23" t="s">
        <v>10</v>
      </c>
      <c r="D534" s="10">
        <f>54*1.2</f>
        <v>64.8</v>
      </c>
      <c r="E534" s="13"/>
      <c r="F534" s="13"/>
      <c r="G534" s="14"/>
    </row>
    <row r="535" spans="1:7" s="5" customFormat="1" ht="15">
      <c r="A535" s="29"/>
      <c r="B535" s="21" t="s">
        <v>339</v>
      </c>
      <c r="C535" s="23"/>
      <c r="D535" s="10"/>
      <c r="E535" s="13"/>
      <c r="F535" s="13"/>
      <c r="G535" s="14"/>
    </row>
    <row r="536" spans="1:7" s="5" customFormat="1" ht="12.75">
      <c r="A536" s="29">
        <v>10.056</v>
      </c>
      <c r="B536" s="6" t="s">
        <v>342</v>
      </c>
      <c r="C536" s="23" t="s">
        <v>10</v>
      </c>
      <c r="D536" s="10">
        <f>+D499+165</f>
        <v>452.6</v>
      </c>
      <c r="E536" s="13"/>
      <c r="F536" s="13"/>
      <c r="G536" s="14"/>
    </row>
    <row r="537" spans="1:7" s="5" customFormat="1" ht="12.75">
      <c r="A537" s="29">
        <f t="shared" si="11"/>
        <v>10.056999999999999</v>
      </c>
      <c r="B537" s="6" t="s">
        <v>340</v>
      </c>
      <c r="C537" s="23" t="s">
        <v>10</v>
      </c>
      <c r="D537" s="10">
        <f>+((D499+D491)*1.07)*0.6</f>
        <v>265.788</v>
      </c>
      <c r="E537" s="13"/>
      <c r="F537" s="13"/>
      <c r="G537" s="14"/>
    </row>
    <row r="538" spans="1:7" s="5" customFormat="1" ht="12.75">
      <c r="A538" s="29">
        <f>+A537+0.001</f>
        <v>10.057999999999998</v>
      </c>
      <c r="B538" s="6" t="s">
        <v>341</v>
      </c>
      <c r="C538" s="23" t="s">
        <v>10</v>
      </c>
      <c r="D538" s="10">
        <f>+D536-D537</f>
        <v>186.812</v>
      </c>
      <c r="E538" s="13"/>
      <c r="F538" s="13"/>
      <c r="G538" s="14"/>
    </row>
    <row r="539" spans="1:7" s="5" customFormat="1" ht="15">
      <c r="A539" s="29"/>
      <c r="B539" s="21" t="s">
        <v>385</v>
      </c>
      <c r="C539" s="23"/>
      <c r="D539" s="10"/>
      <c r="E539" s="13"/>
      <c r="F539" s="13"/>
      <c r="G539" s="14"/>
    </row>
    <row r="540" spans="1:7" s="5" customFormat="1" ht="12.75">
      <c r="A540" s="29">
        <v>10.059</v>
      </c>
      <c r="B540" s="6" t="s">
        <v>386</v>
      </c>
      <c r="C540" s="23" t="s">
        <v>10</v>
      </c>
      <c r="D540" s="10">
        <f>3.5*3.2</f>
        <v>11.200000000000001</v>
      </c>
      <c r="E540" s="13"/>
      <c r="F540" s="13"/>
      <c r="G540" s="14"/>
    </row>
    <row r="541" spans="1:7" s="5" customFormat="1" ht="12.75">
      <c r="A541" s="29"/>
      <c r="B541" s="6"/>
      <c r="C541" s="23"/>
      <c r="D541" s="10"/>
      <c r="E541" s="13"/>
      <c r="F541" s="13"/>
      <c r="G541" s="14"/>
    </row>
    <row r="542" spans="1:7" s="5" customFormat="1" ht="13.5" thickBot="1">
      <c r="A542" s="29"/>
      <c r="B542" s="6"/>
      <c r="C542" s="23"/>
      <c r="D542" s="10"/>
      <c r="E542" s="13"/>
      <c r="F542" s="13"/>
      <c r="G542" s="14"/>
    </row>
    <row r="543" spans="1:7" s="5" customFormat="1" ht="13.5" thickBot="1">
      <c r="A543" s="29"/>
      <c r="B543" s="6"/>
      <c r="C543" s="23"/>
      <c r="D543" s="10"/>
      <c r="E543" s="71" t="str">
        <f>+B460</f>
        <v>Construcción Biblioteca</v>
      </c>
      <c r="F543" s="72"/>
      <c r="G543" s="16">
        <f>SUM(F460:F542)</f>
        <v>0</v>
      </c>
    </row>
    <row r="544" spans="2:7" ht="15.75" thickBot="1">
      <c r="B544" s="15"/>
      <c r="C544" s="12"/>
      <c r="D544" s="25"/>
      <c r="E544" s="13"/>
      <c r="F544" s="13"/>
      <c r="G544" s="24"/>
    </row>
    <row r="545" spans="1:7" ht="32.25" thickBot="1">
      <c r="A545" s="28">
        <v>11</v>
      </c>
      <c r="B545" s="61" t="s">
        <v>394</v>
      </c>
      <c r="C545" s="23"/>
      <c r="D545" s="10"/>
      <c r="E545" s="13"/>
      <c r="F545" s="13"/>
      <c r="G545" s="14"/>
    </row>
    <row r="546" spans="1:7" ht="15">
      <c r="A546" s="29">
        <f>+A545+0.001</f>
        <v>11.001</v>
      </c>
      <c r="B546" s="6" t="s">
        <v>397</v>
      </c>
      <c r="C546" s="23" t="s">
        <v>10</v>
      </c>
      <c r="D546" s="10">
        <v>212.88</v>
      </c>
      <c r="E546" s="13"/>
      <c r="F546" s="13"/>
      <c r="G546" s="14"/>
    </row>
    <row r="547" spans="1:7" ht="15">
      <c r="A547" s="29"/>
      <c r="B547" s="21" t="s">
        <v>265</v>
      </c>
      <c r="C547" s="23"/>
      <c r="D547" s="10"/>
      <c r="E547" s="13"/>
      <c r="F547" s="13"/>
      <c r="G547" s="14"/>
    </row>
    <row r="548" spans="1:7" ht="15">
      <c r="A548" s="29">
        <v>11.002</v>
      </c>
      <c r="B548" s="6" t="s">
        <v>427</v>
      </c>
      <c r="C548" s="23" t="s">
        <v>15</v>
      </c>
      <c r="D548" s="10">
        <f>1*1*0.3*20</f>
        <v>6</v>
      </c>
      <c r="E548" s="13"/>
      <c r="F548" s="13"/>
      <c r="G548" s="14"/>
    </row>
    <row r="549" spans="1:7" ht="15">
      <c r="A549" s="29">
        <f aca="true" t="shared" si="12" ref="A549:A619">+A548+0.001</f>
        <v>11.003</v>
      </c>
      <c r="B549" s="6" t="s">
        <v>428</v>
      </c>
      <c r="C549" s="23" t="s">
        <v>15</v>
      </c>
      <c r="D549" s="10">
        <f>98.91*1.05*0.2</f>
        <v>20.771100000000004</v>
      </c>
      <c r="E549" s="13"/>
      <c r="F549" s="13"/>
      <c r="G549" s="14"/>
    </row>
    <row r="550" spans="1:7" ht="15">
      <c r="A550" s="29"/>
      <c r="B550" s="21" t="s">
        <v>271</v>
      </c>
      <c r="C550" s="23"/>
      <c r="D550" s="10"/>
      <c r="E550" s="13"/>
      <c r="F550" s="13"/>
      <c r="G550" s="14"/>
    </row>
    <row r="551" spans="1:7" ht="15">
      <c r="A551" s="29">
        <v>11.004</v>
      </c>
      <c r="B551" s="6" t="s">
        <v>429</v>
      </c>
      <c r="C551" s="23" t="s">
        <v>0</v>
      </c>
      <c r="D551" s="10">
        <f>98.91*0.3</f>
        <v>29.673</v>
      </c>
      <c r="E551" s="13"/>
      <c r="F551" s="13"/>
      <c r="G551" s="14"/>
    </row>
    <row r="552" spans="1:7" ht="15">
      <c r="A552" s="29"/>
      <c r="B552" s="21" t="s">
        <v>388</v>
      </c>
      <c r="C552" s="23"/>
      <c r="D552" s="10"/>
      <c r="E552" s="13"/>
      <c r="F552" s="13"/>
      <c r="G552" s="14"/>
    </row>
    <row r="553" spans="1:7" ht="15">
      <c r="A553" s="29">
        <v>11.005</v>
      </c>
      <c r="B553" s="6" t="s">
        <v>278</v>
      </c>
      <c r="C553" s="23" t="s">
        <v>0</v>
      </c>
      <c r="D553" s="10">
        <f>0.2*0.2*3.4*20</f>
        <v>2.72</v>
      </c>
      <c r="E553" s="13"/>
      <c r="F553" s="13"/>
      <c r="G553" s="14"/>
    </row>
    <row r="554" spans="1:7" ht="15">
      <c r="A554" s="29">
        <f t="shared" si="12"/>
        <v>11.006</v>
      </c>
      <c r="B554" s="6" t="s">
        <v>430</v>
      </c>
      <c r="C554" s="23" t="s">
        <v>0</v>
      </c>
      <c r="D554" s="10">
        <f>2*0.2*0.2*3.4</f>
        <v>0.272</v>
      </c>
      <c r="E554" s="13"/>
      <c r="F554" s="13"/>
      <c r="G554" s="14"/>
    </row>
    <row r="555" spans="1:7" ht="15">
      <c r="A555" s="29">
        <f t="shared" si="12"/>
        <v>11.007</v>
      </c>
      <c r="B555" s="6" t="s">
        <v>431</v>
      </c>
      <c r="C555" s="23" t="s">
        <v>0</v>
      </c>
      <c r="D555" s="10">
        <f>0.4*0.2*3.4*32</f>
        <v>8.704</v>
      </c>
      <c r="E555" s="13"/>
      <c r="F555" s="13"/>
      <c r="G555" s="14"/>
    </row>
    <row r="556" spans="1:7" ht="15">
      <c r="A556" s="29">
        <f t="shared" si="12"/>
        <v>11.008</v>
      </c>
      <c r="B556" s="6" t="s">
        <v>432</v>
      </c>
      <c r="C556" s="23" t="s">
        <v>0</v>
      </c>
      <c r="D556" s="10">
        <f>0.2*0.34*22</f>
        <v>1.496</v>
      </c>
      <c r="E556" s="13"/>
      <c r="F556" s="13"/>
      <c r="G556" s="14"/>
    </row>
    <row r="557" spans="1:7" ht="15">
      <c r="A557" s="29">
        <f t="shared" si="12"/>
        <v>11.008999999999999</v>
      </c>
      <c r="B557" s="6" t="s">
        <v>433</v>
      </c>
      <c r="C557" s="23" t="s">
        <v>0</v>
      </c>
      <c r="D557" s="10">
        <f>0.2*0.32*4.4*2</f>
        <v>0.5632</v>
      </c>
      <c r="E557" s="13"/>
      <c r="F557" s="13"/>
      <c r="G557" s="14"/>
    </row>
    <row r="558" spans="1:7" ht="15">
      <c r="A558" s="29">
        <f t="shared" si="12"/>
        <v>11.009999999999998</v>
      </c>
      <c r="B558" s="6" t="s">
        <v>434</v>
      </c>
      <c r="C558" s="23" t="s">
        <v>0</v>
      </c>
      <c r="D558" s="10">
        <f>0.32*0.2*2*2</f>
        <v>0.256</v>
      </c>
      <c r="E558" s="13"/>
      <c r="F558" s="13"/>
      <c r="G558" s="14"/>
    </row>
    <row r="559" spans="1:7" ht="15">
      <c r="A559" s="29">
        <f t="shared" si="12"/>
        <v>11.010999999999997</v>
      </c>
      <c r="B559" s="6" t="s">
        <v>435</v>
      </c>
      <c r="C559" s="23" t="s">
        <v>0</v>
      </c>
      <c r="D559" s="10">
        <f>0.62*0.2*8.4*2</f>
        <v>2.0832</v>
      </c>
      <c r="E559" s="13"/>
      <c r="F559" s="13"/>
      <c r="G559" s="14"/>
    </row>
    <row r="560" spans="1:7" ht="15">
      <c r="A560" s="29">
        <f t="shared" si="12"/>
        <v>11.011999999999997</v>
      </c>
      <c r="B560" s="6" t="s">
        <v>280</v>
      </c>
      <c r="C560" s="23" t="s">
        <v>0</v>
      </c>
      <c r="D560" s="10">
        <f>0.3*0.2*4.78</f>
        <v>0.2868</v>
      </c>
      <c r="E560" s="13"/>
      <c r="F560" s="13"/>
      <c r="G560" s="14"/>
    </row>
    <row r="561" spans="1:7" ht="15">
      <c r="A561" s="29">
        <f t="shared" si="12"/>
        <v>11.012999999999996</v>
      </c>
      <c r="B561" s="47" t="s">
        <v>402</v>
      </c>
      <c r="C561" s="48" t="s">
        <v>0</v>
      </c>
      <c r="D561" s="49">
        <f>82.02*0.12</f>
        <v>9.8424</v>
      </c>
      <c r="E561" s="50"/>
      <c r="F561" s="50"/>
      <c r="G561" s="14"/>
    </row>
    <row r="562" spans="1:7" ht="15">
      <c r="A562" s="29">
        <f t="shared" si="12"/>
        <v>11.013999999999996</v>
      </c>
      <c r="B562" s="47" t="s">
        <v>398</v>
      </c>
      <c r="C562" s="48" t="s">
        <v>0</v>
      </c>
      <c r="D562" s="49">
        <f>18.8*0.4*0.2</f>
        <v>1.5040000000000002</v>
      </c>
      <c r="E562" s="50"/>
      <c r="F562" s="50"/>
      <c r="G562" s="14"/>
    </row>
    <row r="563" spans="1:7" ht="15">
      <c r="A563" s="29">
        <f t="shared" si="12"/>
        <v>11.014999999999995</v>
      </c>
      <c r="B563" s="47" t="s">
        <v>399</v>
      </c>
      <c r="C563" s="48" t="s">
        <v>0</v>
      </c>
      <c r="D563" s="49">
        <f>4*2*0.2*0.2</f>
        <v>0.32000000000000006</v>
      </c>
      <c r="E563" s="50"/>
      <c r="F563" s="50"/>
      <c r="G563" s="14"/>
    </row>
    <row r="564" spans="1:7" ht="15">
      <c r="A564" s="29"/>
      <c r="B564" s="21" t="s">
        <v>288</v>
      </c>
      <c r="C564" s="48"/>
      <c r="D564" s="49"/>
      <c r="E564" s="50"/>
      <c r="F564" s="50"/>
      <c r="G564" s="14"/>
    </row>
    <row r="565" spans="1:7" ht="15">
      <c r="A565" s="29">
        <f>+A563+0.001</f>
        <v>11.015999999999995</v>
      </c>
      <c r="B565" s="47" t="s">
        <v>289</v>
      </c>
      <c r="C565" s="48" t="s">
        <v>10</v>
      </c>
      <c r="D565" s="49">
        <f>+D561/0.12</f>
        <v>82.02</v>
      </c>
      <c r="E565" s="50"/>
      <c r="F565" s="50"/>
      <c r="G565" s="14"/>
    </row>
    <row r="566" spans="1:7" ht="15">
      <c r="A566" s="29">
        <f t="shared" si="12"/>
        <v>11.016999999999994</v>
      </c>
      <c r="B566" s="47" t="s">
        <v>290</v>
      </c>
      <c r="C566" s="48" t="s">
        <v>11</v>
      </c>
      <c r="D566" s="49">
        <f>+D565*0.862</f>
        <v>70.70124</v>
      </c>
      <c r="E566" s="50"/>
      <c r="F566" s="50"/>
      <c r="G566" s="14"/>
    </row>
    <row r="567" spans="1:7" ht="15">
      <c r="A567" s="29">
        <f t="shared" si="12"/>
        <v>11.017999999999994</v>
      </c>
      <c r="B567" s="47" t="s">
        <v>291</v>
      </c>
      <c r="C567" s="48" t="s">
        <v>10</v>
      </c>
      <c r="D567" s="49">
        <f>+D565*1.42</f>
        <v>116.46839999999999</v>
      </c>
      <c r="E567" s="50"/>
      <c r="F567" s="50"/>
      <c r="G567" s="14"/>
    </row>
    <row r="568" spans="1:7" ht="15">
      <c r="A568" s="29">
        <f t="shared" si="12"/>
        <v>11.018999999999993</v>
      </c>
      <c r="B568" s="47" t="s">
        <v>400</v>
      </c>
      <c r="C568" s="48" t="s">
        <v>11</v>
      </c>
      <c r="D568" s="49">
        <f>3.2*2</f>
        <v>6.4</v>
      </c>
      <c r="E568" s="50"/>
      <c r="F568" s="50"/>
      <c r="G568" s="14"/>
    </row>
    <row r="569" spans="1:7" ht="15">
      <c r="A569" s="29"/>
      <c r="B569" s="21" t="s">
        <v>296</v>
      </c>
      <c r="C569" s="48"/>
      <c r="D569" s="49"/>
      <c r="E569" s="50"/>
      <c r="F569" s="50"/>
      <c r="G569" s="14"/>
    </row>
    <row r="570" spans="1:7" ht="15">
      <c r="A570" s="29">
        <v>11.02</v>
      </c>
      <c r="B570" s="47" t="s">
        <v>297</v>
      </c>
      <c r="C570" s="48" t="s">
        <v>10</v>
      </c>
      <c r="D570" s="49">
        <f>(81.92*2.8)-(D615/10.76)</f>
        <v>186.896</v>
      </c>
      <c r="E570" s="50"/>
      <c r="F570" s="50"/>
      <c r="G570" s="14"/>
    </row>
    <row r="571" spans="1:7" ht="15">
      <c r="A571" s="29"/>
      <c r="B571" s="21" t="s">
        <v>292</v>
      </c>
      <c r="C571" s="48"/>
      <c r="D571" s="49"/>
      <c r="E571" s="50"/>
      <c r="F571" s="50"/>
      <c r="G571" s="14"/>
    </row>
    <row r="572" spans="1:7" ht="15">
      <c r="A572" s="29">
        <v>11.021</v>
      </c>
      <c r="B572" s="47" t="s">
        <v>262</v>
      </c>
      <c r="C572" s="48" t="s">
        <v>10</v>
      </c>
      <c r="D572" s="49">
        <f>+D570*2-(D615/10.76)</f>
        <v>331.31199999999995</v>
      </c>
      <c r="E572" s="50"/>
      <c r="F572" s="50"/>
      <c r="G572" s="14"/>
    </row>
    <row r="573" spans="1:7" ht="15">
      <c r="A573" s="29">
        <f t="shared" si="12"/>
        <v>11.022</v>
      </c>
      <c r="B573" s="47" t="s">
        <v>293</v>
      </c>
      <c r="C573" s="48" t="s">
        <v>10</v>
      </c>
      <c r="D573" s="49">
        <f>+D572</f>
        <v>331.31199999999995</v>
      </c>
      <c r="E573" s="50"/>
      <c r="F573" s="50"/>
      <c r="G573" s="14"/>
    </row>
    <row r="574" spans="1:7" ht="15">
      <c r="A574" s="29">
        <f t="shared" si="12"/>
        <v>11.023</v>
      </c>
      <c r="B574" s="51" t="s">
        <v>309</v>
      </c>
      <c r="C574" s="48" t="s">
        <v>11</v>
      </c>
      <c r="D574" s="49">
        <f>+D573*0.8321</f>
        <v>275.68471519999997</v>
      </c>
      <c r="E574" s="50"/>
      <c r="F574" s="50"/>
      <c r="G574" s="14"/>
    </row>
    <row r="575" spans="1:7" ht="15">
      <c r="A575" s="29">
        <f t="shared" si="12"/>
        <v>11.024</v>
      </c>
      <c r="B575" s="47" t="s">
        <v>294</v>
      </c>
      <c r="C575" s="48" t="s">
        <v>10</v>
      </c>
      <c r="D575" s="49">
        <v>35.28</v>
      </c>
      <c r="E575" s="50"/>
      <c r="F575" s="50"/>
      <c r="G575" s="14"/>
    </row>
    <row r="576" spans="1:7" ht="15">
      <c r="A576" s="29">
        <f t="shared" si="12"/>
        <v>11.024999999999999</v>
      </c>
      <c r="B576" s="47" t="s">
        <v>299</v>
      </c>
      <c r="C576" s="48" t="s">
        <v>10</v>
      </c>
      <c r="D576" s="49">
        <v>30.76</v>
      </c>
      <c r="E576" s="50"/>
      <c r="F576" s="50"/>
      <c r="G576" s="14"/>
    </row>
    <row r="577" spans="1:7" ht="15">
      <c r="A577" s="29">
        <f t="shared" si="12"/>
        <v>11.025999999999998</v>
      </c>
      <c r="B577" s="47" t="s">
        <v>300</v>
      </c>
      <c r="C577" s="48" t="s">
        <v>11</v>
      </c>
      <c r="D577" s="49">
        <f>11*2</f>
        <v>22</v>
      </c>
      <c r="E577" s="50"/>
      <c r="F577" s="50"/>
      <c r="G577" s="14"/>
    </row>
    <row r="578" spans="1:7" ht="15">
      <c r="A578" s="29"/>
      <c r="B578" s="21" t="s">
        <v>316</v>
      </c>
      <c r="C578" s="48"/>
      <c r="D578" s="49"/>
      <c r="E578" s="50"/>
      <c r="F578" s="50"/>
      <c r="G578" s="14"/>
    </row>
    <row r="579" spans="1:7" ht="15">
      <c r="A579" s="29">
        <v>11.027</v>
      </c>
      <c r="B579" s="47" t="s">
        <v>317</v>
      </c>
      <c r="C579" s="48" t="s">
        <v>10</v>
      </c>
      <c r="D579" s="49">
        <f>100.1*1.05</f>
        <v>105.105</v>
      </c>
      <c r="E579" s="50"/>
      <c r="F579" s="50"/>
      <c r="G579" s="14"/>
    </row>
    <row r="580" spans="1:7" ht="15">
      <c r="A580" s="29">
        <f t="shared" si="12"/>
        <v>11.027999999999999</v>
      </c>
      <c r="B580" s="47" t="s">
        <v>359</v>
      </c>
      <c r="C580" s="48" t="s">
        <v>11</v>
      </c>
      <c r="D580" s="49">
        <f>2*12.8</f>
        <v>25.6</v>
      </c>
      <c r="E580" s="50"/>
      <c r="F580" s="50"/>
      <c r="G580" s="14"/>
    </row>
    <row r="581" spans="1:7" ht="15">
      <c r="A581" s="29">
        <f t="shared" si="12"/>
        <v>11.028999999999998</v>
      </c>
      <c r="B581" s="47" t="s">
        <v>358</v>
      </c>
      <c r="C581" s="48" t="s">
        <v>11</v>
      </c>
      <c r="D581" s="49">
        <f>6*11.2</f>
        <v>67.19999999999999</v>
      </c>
      <c r="E581" s="50"/>
      <c r="F581" s="50"/>
      <c r="G581" s="14"/>
    </row>
    <row r="582" spans="1:7" ht="15">
      <c r="A582" s="29">
        <f t="shared" si="12"/>
        <v>11.029999999999998</v>
      </c>
      <c r="B582" s="47" t="s">
        <v>320</v>
      </c>
      <c r="C582" s="48" t="s">
        <v>11</v>
      </c>
      <c r="D582" s="49">
        <f>11.2*2</f>
        <v>22.4</v>
      </c>
      <c r="E582" s="50"/>
      <c r="F582" s="50"/>
      <c r="G582" s="14"/>
    </row>
    <row r="583" spans="1:7" ht="15">
      <c r="A583" s="29">
        <f t="shared" si="12"/>
        <v>11.030999999999997</v>
      </c>
      <c r="B583" s="47" t="s">
        <v>318</v>
      </c>
      <c r="C583" s="48" t="s">
        <v>319</v>
      </c>
      <c r="D583" s="49">
        <v>1</v>
      </c>
      <c r="E583" s="50"/>
      <c r="F583" s="50"/>
      <c r="G583" s="14"/>
    </row>
    <row r="584" spans="1:7" ht="15">
      <c r="A584" s="29"/>
      <c r="B584" s="21" t="s">
        <v>322</v>
      </c>
      <c r="C584" s="48"/>
      <c r="D584" s="49"/>
      <c r="E584" s="50"/>
      <c r="F584" s="50"/>
      <c r="G584" s="14"/>
    </row>
    <row r="585" spans="1:7" ht="15">
      <c r="A585" s="29">
        <v>11.032</v>
      </c>
      <c r="B585" s="47" t="s">
        <v>325</v>
      </c>
      <c r="C585" s="48" t="s">
        <v>10</v>
      </c>
      <c r="D585" s="49">
        <f>134*1.05</f>
        <v>140.70000000000002</v>
      </c>
      <c r="E585" s="50"/>
      <c r="F585" s="50"/>
      <c r="G585" s="14"/>
    </row>
    <row r="586" spans="1:7" ht="15">
      <c r="A586" s="29">
        <f t="shared" si="12"/>
        <v>11.033</v>
      </c>
      <c r="B586" s="47" t="s">
        <v>323</v>
      </c>
      <c r="C586" s="48" t="s">
        <v>11</v>
      </c>
      <c r="D586" s="49">
        <v>227.7</v>
      </c>
      <c r="E586" s="50"/>
      <c r="F586" s="50"/>
      <c r="G586" s="14"/>
    </row>
    <row r="587" spans="1:7" ht="15">
      <c r="A587" s="29">
        <f t="shared" si="12"/>
        <v>11.033999999999999</v>
      </c>
      <c r="B587" s="47" t="s">
        <v>326</v>
      </c>
      <c r="C587" s="48" t="s">
        <v>10</v>
      </c>
      <c r="D587" s="49">
        <f>+D585+(D588*0.07)</f>
        <v>146.23980000000003</v>
      </c>
      <c r="E587" s="50"/>
      <c r="F587" s="50"/>
      <c r="G587" s="14"/>
    </row>
    <row r="588" spans="1:7" ht="15">
      <c r="A588" s="29">
        <f t="shared" si="12"/>
        <v>11.034999999999998</v>
      </c>
      <c r="B588" s="47" t="s">
        <v>324</v>
      </c>
      <c r="C588" s="48" t="s">
        <v>11</v>
      </c>
      <c r="D588" s="49">
        <v>79.14</v>
      </c>
      <c r="E588" s="50"/>
      <c r="F588" s="50"/>
      <c r="G588" s="14"/>
    </row>
    <row r="589" spans="1:7" ht="15">
      <c r="A589" s="29"/>
      <c r="B589" s="21" t="s">
        <v>363</v>
      </c>
      <c r="C589" s="48"/>
      <c r="D589" s="49"/>
      <c r="E589" s="50"/>
      <c r="F589" s="50"/>
      <c r="G589" s="14"/>
    </row>
    <row r="590" spans="1:7" ht="15">
      <c r="A590" s="29">
        <v>11.036</v>
      </c>
      <c r="B590" s="47" t="s">
        <v>599</v>
      </c>
      <c r="C590" s="48" t="s">
        <v>12</v>
      </c>
      <c r="D590" s="49">
        <v>1</v>
      </c>
      <c r="E590" s="50"/>
      <c r="F590" s="50"/>
      <c r="G590" s="14"/>
    </row>
    <row r="591" spans="1:7" ht="15">
      <c r="A591" s="29">
        <f t="shared" si="12"/>
        <v>11.036999999999999</v>
      </c>
      <c r="B591" s="47" t="s">
        <v>380</v>
      </c>
      <c r="C591" s="48" t="s">
        <v>12</v>
      </c>
      <c r="D591" s="49">
        <v>1</v>
      </c>
      <c r="E591" s="50"/>
      <c r="F591" s="50"/>
      <c r="G591" s="14"/>
    </row>
    <row r="592" spans="1:7" ht="15">
      <c r="A592" s="29">
        <f t="shared" si="12"/>
        <v>11.037999999999998</v>
      </c>
      <c r="B592" s="47" t="s">
        <v>381</v>
      </c>
      <c r="C592" s="48" t="s">
        <v>12</v>
      </c>
      <c r="D592" s="49">
        <v>1</v>
      </c>
      <c r="E592" s="50"/>
      <c r="F592" s="50"/>
      <c r="G592" s="14"/>
    </row>
    <row r="593" spans="1:7" ht="25.5">
      <c r="A593" s="29">
        <f t="shared" si="12"/>
        <v>11.038999999999998</v>
      </c>
      <c r="B593" s="47" t="s">
        <v>403</v>
      </c>
      <c r="C593" s="48" t="s">
        <v>27</v>
      </c>
      <c r="D593" s="49">
        <v>2</v>
      </c>
      <c r="E593" s="50"/>
      <c r="F593" s="50"/>
      <c r="G593" s="14"/>
    </row>
    <row r="594" spans="1:7" ht="15">
      <c r="A594" s="29">
        <f t="shared" si="12"/>
        <v>11.039999999999997</v>
      </c>
      <c r="B594" s="47" t="s">
        <v>368</v>
      </c>
      <c r="C594" s="48" t="s">
        <v>364</v>
      </c>
      <c r="D594" s="49">
        <f>3*3.28</f>
        <v>9.84</v>
      </c>
      <c r="E594" s="50"/>
      <c r="F594" s="50"/>
      <c r="G594" s="14"/>
    </row>
    <row r="595" spans="1:7" ht="25.5">
      <c r="A595" s="29">
        <f t="shared" si="12"/>
        <v>11.040999999999997</v>
      </c>
      <c r="B595" s="47" t="s">
        <v>371</v>
      </c>
      <c r="C595" s="48" t="s">
        <v>27</v>
      </c>
      <c r="D595" s="49">
        <v>2</v>
      </c>
      <c r="E595" s="50"/>
      <c r="F595" s="50"/>
      <c r="G595" s="14"/>
    </row>
    <row r="596" spans="1:7" ht="15">
      <c r="A596" s="29">
        <f t="shared" si="12"/>
        <v>11.041999999999996</v>
      </c>
      <c r="B596" s="47" t="s">
        <v>367</v>
      </c>
      <c r="C596" s="48" t="s">
        <v>27</v>
      </c>
      <c r="D596" s="49">
        <v>2</v>
      </c>
      <c r="E596" s="50"/>
      <c r="F596" s="50"/>
      <c r="G596" s="14"/>
    </row>
    <row r="597" spans="1:7" ht="25.5">
      <c r="A597" s="29">
        <f t="shared" si="12"/>
        <v>11.042999999999996</v>
      </c>
      <c r="B597" s="47" t="s">
        <v>366</v>
      </c>
      <c r="C597" s="48" t="s">
        <v>27</v>
      </c>
      <c r="D597" s="49">
        <v>2</v>
      </c>
      <c r="E597" s="50"/>
      <c r="F597" s="50"/>
      <c r="G597" s="14"/>
    </row>
    <row r="598" spans="1:7" ht="25.5">
      <c r="A598" s="29">
        <f t="shared" si="12"/>
        <v>11.043999999999995</v>
      </c>
      <c r="B598" s="47" t="s">
        <v>372</v>
      </c>
      <c r="C598" s="48" t="s">
        <v>27</v>
      </c>
      <c r="D598" s="49">
        <v>2</v>
      </c>
      <c r="E598" s="50"/>
      <c r="F598" s="50"/>
      <c r="G598" s="14"/>
    </row>
    <row r="599" spans="1:7" ht="15">
      <c r="A599" s="29">
        <f t="shared" si="12"/>
        <v>11.044999999999995</v>
      </c>
      <c r="B599" s="47" t="s">
        <v>365</v>
      </c>
      <c r="C599" s="48" t="s">
        <v>27</v>
      </c>
      <c r="D599" s="49">
        <v>2</v>
      </c>
      <c r="E599" s="50"/>
      <c r="F599" s="50"/>
      <c r="G599" s="14"/>
    </row>
    <row r="600" spans="1:7" ht="15">
      <c r="A600" s="29">
        <f t="shared" si="12"/>
        <v>11.045999999999994</v>
      </c>
      <c r="B600" s="47" t="s">
        <v>374</v>
      </c>
      <c r="C600" s="48" t="s">
        <v>27</v>
      </c>
      <c r="D600" s="49">
        <v>2</v>
      </c>
      <c r="E600" s="50"/>
      <c r="F600" s="50"/>
      <c r="G600" s="14"/>
    </row>
    <row r="601" spans="1:7" ht="15">
      <c r="A601" s="29">
        <f t="shared" si="12"/>
        <v>11.046999999999993</v>
      </c>
      <c r="B601" s="47" t="s">
        <v>375</v>
      </c>
      <c r="C601" s="48" t="s">
        <v>27</v>
      </c>
      <c r="D601" s="49">
        <v>2</v>
      </c>
      <c r="E601" s="50"/>
      <c r="F601" s="50"/>
      <c r="G601" s="14"/>
    </row>
    <row r="602" spans="1:7" ht="15">
      <c r="A602" s="29">
        <f t="shared" si="12"/>
        <v>11.047999999999993</v>
      </c>
      <c r="B602" s="47" t="s">
        <v>376</v>
      </c>
      <c r="C602" s="48" t="s">
        <v>27</v>
      </c>
      <c r="D602" s="49">
        <v>2</v>
      </c>
      <c r="E602" s="50"/>
      <c r="F602" s="50"/>
      <c r="G602" s="14"/>
    </row>
    <row r="603" spans="1:7" ht="15">
      <c r="A603" s="29">
        <f t="shared" si="12"/>
        <v>11.048999999999992</v>
      </c>
      <c r="B603" s="47" t="s">
        <v>377</v>
      </c>
      <c r="C603" s="48" t="s">
        <v>27</v>
      </c>
      <c r="D603" s="49">
        <v>2</v>
      </c>
      <c r="E603" s="50"/>
      <c r="F603" s="50"/>
      <c r="G603" s="14"/>
    </row>
    <row r="604" spans="1:7" ht="15">
      <c r="A604" s="29">
        <f t="shared" si="12"/>
        <v>11.049999999999992</v>
      </c>
      <c r="B604" s="47" t="s">
        <v>383</v>
      </c>
      <c r="C604" s="48" t="s">
        <v>13</v>
      </c>
      <c r="D604" s="49">
        <v>2</v>
      </c>
      <c r="E604" s="50"/>
      <c r="F604" s="50"/>
      <c r="G604" s="14"/>
    </row>
    <row r="605" spans="1:7" ht="15">
      <c r="A605" s="29">
        <f t="shared" si="12"/>
        <v>11.050999999999991</v>
      </c>
      <c r="B605" s="47" t="s">
        <v>666</v>
      </c>
      <c r="C605" s="48" t="s">
        <v>11</v>
      </c>
      <c r="D605" s="49">
        <v>10.71</v>
      </c>
      <c r="E605" s="50"/>
      <c r="F605" s="50"/>
      <c r="G605" s="14"/>
    </row>
    <row r="606" spans="1:7" ht="15">
      <c r="A606" s="29">
        <f t="shared" si="12"/>
        <v>11.05199999999999</v>
      </c>
      <c r="B606" s="47" t="s">
        <v>667</v>
      </c>
      <c r="C606" s="48" t="s">
        <v>11</v>
      </c>
      <c r="D606" s="49">
        <v>7.14</v>
      </c>
      <c r="E606" s="50"/>
      <c r="F606" s="50"/>
      <c r="G606" s="14"/>
    </row>
    <row r="607" spans="1:7" ht="15">
      <c r="A607" s="29">
        <f t="shared" si="12"/>
        <v>11.05299999999999</v>
      </c>
      <c r="B607" s="47" t="s">
        <v>668</v>
      </c>
      <c r="C607" s="48" t="s">
        <v>11</v>
      </c>
      <c r="D607" s="49">
        <v>5.95</v>
      </c>
      <c r="E607" s="50"/>
      <c r="F607" s="50"/>
      <c r="G607" s="14"/>
    </row>
    <row r="608" spans="1:7" ht="15">
      <c r="A608" s="29">
        <f t="shared" si="12"/>
        <v>11.05399999999999</v>
      </c>
      <c r="B608" s="47" t="s">
        <v>661</v>
      </c>
      <c r="C608" s="48" t="s">
        <v>148</v>
      </c>
      <c r="D608" s="49">
        <v>2</v>
      </c>
      <c r="E608" s="50"/>
      <c r="F608" s="50"/>
      <c r="G608" s="14"/>
    </row>
    <row r="609" spans="1:7" ht="15">
      <c r="A609" s="29"/>
      <c r="B609" s="21" t="s">
        <v>327</v>
      </c>
      <c r="C609" s="48"/>
      <c r="D609" s="49"/>
      <c r="E609" s="50"/>
      <c r="F609" s="50"/>
      <c r="G609" s="14"/>
    </row>
    <row r="610" spans="1:7" ht="15">
      <c r="A610" s="29">
        <v>11.055</v>
      </c>
      <c r="B610" s="47" t="s">
        <v>330</v>
      </c>
      <c r="C610" s="48" t="s">
        <v>13</v>
      </c>
      <c r="D610" s="49">
        <v>1</v>
      </c>
      <c r="E610" s="50"/>
      <c r="F610" s="50"/>
      <c r="G610" s="14"/>
    </row>
    <row r="611" spans="1:7" ht="15">
      <c r="A611" s="29">
        <f t="shared" si="12"/>
        <v>11.056</v>
      </c>
      <c r="B611" s="47" t="s">
        <v>331</v>
      </c>
      <c r="C611" s="48" t="s">
        <v>13</v>
      </c>
      <c r="D611" s="49">
        <v>1</v>
      </c>
      <c r="E611" s="50"/>
      <c r="F611" s="50"/>
      <c r="G611" s="14"/>
    </row>
    <row r="612" spans="1:7" ht="15">
      <c r="A612" s="29">
        <f t="shared" si="12"/>
        <v>11.056999999999999</v>
      </c>
      <c r="B612" s="47" t="s">
        <v>332</v>
      </c>
      <c r="C612" s="48" t="s">
        <v>13</v>
      </c>
      <c r="D612" s="49">
        <v>2</v>
      </c>
      <c r="E612" s="50"/>
      <c r="F612" s="50"/>
      <c r="G612" s="14"/>
    </row>
    <row r="613" spans="1:7" ht="15">
      <c r="A613" s="29">
        <f t="shared" si="12"/>
        <v>11.057999999999998</v>
      </c>
      <c r="B613" s="47" t="s">
        <v>401</v>
      </c>
      <c r="C613" s="48" t="s">
        <v>13</v>
      </c>
      <c r="D613" s="49">
        <v>2</v>
      </c>
      <c r="E613" s="50"/>
      <c r="F613" s="50"/>
      <c r="G613" s="14"/>
    </row>
    <row r="614" spans="1:7" ht="15">
      <c r="A614" s="29">
        <f t="shared" si="12"/>
        <v>11.058999999999997</v>
      </c>
      <c r="B614" s="47" t="s">
        <v>329</v>
      </c>
      <c r="C614" s="48" t="s">
        <v>13</v>
      </c>
      <c r="D614" s="49">
        <f>SUM(D610:D613)</f>
        <v>6</v>
      </c>
      <c r="E614" s="50"/>
      <c r="F614" s="50"/>
      <c r="G614" s="14"/>
    </row>
    <row r="615" spans="1:7" ht="15">
      <c r="A615" s="29">
        <f t="shared" si="12"/>
        <v>11.059999999999997</v>
      </c>
      <c r="B615" s="47" t="s">
        <v>334</v>
      </c>
      <c r="C615" s="48" t="s">
        <v>159</v>
      </c>
      <c r="D615" s="49">
        <f>42.48*10.76</f>
        <v>457.0848</v>
      </c>
      <c r="E615" s="50"/>
      <c r="F615" s="50"/>
      <c r="G615" s="14"/>
    </row>
    <row r="616" spans="1:7" ht="15">
      <c r="A616" s="29"/>
      <c r="B616" s="21" t="s">
        <v>338</v>
      </c>
      <c r="C616" s="48"/>
      <c r="D616" s="49"/>
      <c r="E616" s="50"/>
      <c r="F616" s="50"/>
      <c r="G616" s="14"/>
    </row>
    <row r="617" spans="1:7" ht="15">
      <c r="A617" s="29">
        <v>11.061</v>
      </c>
      <c r="B617" s="47" t="s">
        <v>336</v>
      </c>
      <c r="C617" s="48" t="s">
        <v>11</v>
      </c>
      <c r="D617" s="49">
        <v>54.6</v>
      </c>
      <c r="E617" s="50"/>
      <c r="F617" s="50"/>
      <c r="G617" s="14"/>
    </row>
    <row r="618" spans="1:7" ht="15">
      <c r="A618" s="29">
        <f t="shared" si="12"/>
        <v>11.062</v>
      </c>
      <c r="B618" s="47" t="s">
        <v>335</v>
      </c>
      <c r="C618" s="48" t="s">
        <v>16</v>
      </c>
      <c r="D618" s="49">
        <f>+D619*0.3</f>
        <v>19.656</v>
      </c>
      <c r="E618" s="50"/>
      <c r="F618" s="50"/>
      <c r="G618" s="14"/>
    </row>
    <row r="619" spans="1:7" ht="15">
      <c r="A619" s="29">
        <f t="shared" si="12"/>
        <v>11.062999999999999</v>
      </c>
      <c r="B619" s="47" t="s">
        <v>337</v>
      </c>
      <c r="C619" s="48" t="s">
        <v>10</v>
      </c>
      <c r="D619" s="49">
        <f>54.6*1.2</f>
        <v>65.52</v>
      </c>
      <c r="E619" s="50"/>
      <c r="F619" s="50"/>
      <c r="G619" s="14"/>
    </row>
    <row r="620" spans="1:7" ht="15">
      <c r="A620" s="29"/>
      <c r="B620" s="21" t="s">
        <v>339</v>
      </c>
      <c r="C620" s="48"/>
      <c r="D620" s="49"/>
      <c r="E620" s="50"/>
      <c r="F620" s="50"/>
      <c r="G620" s="14"/>
    </row>
    <row r="621" spans="1:7" ht="15">
      <c r="A621" s="29">
        <v>11.064</v>
      </c>
      <c r="B621" s="47" t="s">
        <v>342</v>
      </c>
      <c r="C621" s="48" t="s">
        <v>10</v>
      </c>
      <c r="D621" s="49">
        <f>+D573+D567</f>
        <v>447.78039999999993</v>
      </c>
      <c r="E621" s="50"/>
      <c r="F621" s="50"/>
      <c r="G621" s="14"/>
    </row>
    <row r="622" spans="1:7" ht="15">
      <c r="A622" s="29">
        <f>+A621+0.001</f>
        <v>11.065</v>
      </c>
      <c r="B622" s="47" t="s">
        <v>340</v>
      </c>
      <c r="C622" s="48" t="s">
        <v>10</v>
      </c>
      <c r="D622" s="49">
        <f>+((D573+D565)*1.07)*0.6</f>
        <v>265.35914399999996</v>
      </c>
      <c r="E622" s="50"/>
      <c r="F622" s="50"/>
      <c r="G622" s="14"/>
    </row>
    <row r="623" spans="1:7" ht="15">
      <c r="A623" s="29">
        <f>+A622+0.001</f>
        <v>11.065999999999999</v>
      </c>
      <c r="B623" s="47" t="s">
        <v>341</v>
      </c>
      <c r="C623" s="48" t="s">
        <v>10</v>
      </c>
      <c r="D623" s="49">
        <f>+D621-D622</f>
        <v>182.42125599999997</v>
      </c>
      <c r="E623" s="50"/>
      <c r="F623" s="50"/>
      <c r="G623" s="14"/>
    </row>
    <row r="624" spans="1:7" ht="15.75" thickBot="1">
      <c r="A624" s="29"/>
      <c r="B624" s="6"/>
      <c r="C624" s="23"/>
      <c r="D624" s="10"/>
      <c r="E624" s="13"/>
      <c r="F624" s="13"/>
      <c r="G624" s="14"/>
    </row>
    <row r="625" spans="1:7" ht="15.75" thickBot="1">
      <c r="A625" s="29"/>
      <c r="B625" s="6"/>
      <c r="C625" s="23"/>
      <c r="D625" s="10"/>
      <c r="E625" s="71"/>
      <c r="F625" s="72"/>
      <c r="G625" s="16">
        <f>SUM(F545:F624)</f>
        <v>0</v>
      </c>
    </row>
    <row r="626" ht="15.75" thickBot="1"/>
    <row r="627" spans="1:7" ht="16.5" thickBot="1">
      <c r="A627" s="28">
        <v>12</v>
      </c>
      <c r="B627" s="61" t="s">
        <v>410</v>
      </c>
      <c r="C627" s="23"/>
      <c r="D627" s="10"/>
      <c r="E627" s="13"/>
      <c r="F627" s="13"/>
      <c r="G627" s="14"/>
    </row>
    <row r="628" spans="1:7" ht="15">
      <c r="A628" s="29"/>
      <c r="B628" s="21"/>
      <c r="C628" s="23"/>
      <c r="D628" s="10"/>
      <c r="E628" s="13"/>
      <c r="F628" s="13"/>
      <c r="G628" s="14"/>
    </row>
    <row r="629" spans="1:7" ht="15">
      <c r="A629" s="29">
        <v>12.001</v>
      </c>
      <c r="B629" s="6" t="s">
        <v>404</v>
      </c>
      <c r="C629" s="23" t="s">
        <v>15</v>
      </c>
      <c r="D629" s="10">
        <f>0.9*0.9*114</f>
        <v>92.34</v>
      </c>
      <c r="E629" s="13"/>
      <c r="F629" s="13"/>
      <c r="G629" s="14"/>
    </row>
    <row r="630" spans="1:7" ht="15">
      <c r="A630" s="29">
        <f aca="true" t="shared" si="13" ref="A630:A643">+A629+0.001</f>
        <v>12.001999999999999</v>
      </c>
      <c r="B630" s="6" t="s">
        <v>405</v>
      </c>
      <c r="C630" s="23" t="s">
        <v>0</v>
      </c>
      <c r="D630" s="10">
        <f>0.9*0.9*0.25*114</f>
        <v>23.085</v>
      </c>
      <c r="E630" s="13"/>
      <c r="F630" s="13"/>
      <c r="G630" s="14"/>
    </row>
    <row r="631" spans="1:7" ht="15">
      <c r="A631" s="29">
        <f t="shared" si="13"/>
        <v>12.002999999999998</v>
      </c>
      <c r="B631" s="6" t="s">
        <v>406</v>
      </c>
      <c r="C631" s="23" t="s">
        <v>0</v>
      </c>
      <c r="D631" s="10">
        <f>0.2*0.2*3.6*114</f>
        <v>16.416000000000004</v>
      </c>
      <c r="E631" s="13"/>
      <c r="F631" s="13"/>
      <c r="G631" s="14"/>
    </row>
    <row r="632" spans="1:7" ht="15">
      <c r="A632" s="29">
        <f t="shared" si="13"/>
        <v>12.003999999999998</v>
      </c>
      <c r="B632" s="6" t="s">
        <v>409</v>
      </c>
      <c r="C632" s="23" t="s">
        <v>11</v>
      </c>
      <c r="D632" s="10">
        <f>158.69*2</f>
        <v>317.38</v>
      </c>
      <c r="E632" s="13"/>
      <c r="F632" s="13"/>
      <c r="G632" s="14"/>
    </row>
    <row r="633" spans="1:7" ht="15">
      <c r="A633" s="29">
        <f t="shared" si="13"/>
        <v>12.004999999999997</v>
      </c>
      <c r="B633" s="6" t="s">
        <v>407</v>
      </c>
      <c r="C633" s="23" t="s">
        <v>0</v>
      </c>
      <c r="D633" s="10">
        <f>159*0.2*0.2*2</f>
        <v>12.72</v>
      </c>
      <c r="E633" s="13"/>
      <c r="F633" s="13"/>
      <c r="G633" s="14"/>
    </row>
    <row r="634" spans="1:7" ht="15">
      <c r="A634" s="29">
        <f t="shared" si="13"/>
        <v>12.005999999999997</v>
      </c>
      <c r="B634" s="6" t="s">
        <v>408</v>
      </c>
      <c r="C634" s="23" t="s">
        <v>0</v>
      </c>
      <c r="D634" s="10">
        <f>58*0.2*0.15*2.7</f>
        <v>4.698000000000001</v>
      </c>
      <c r="E634" s="13"/>
      <c r="F634" s="13"/>
      <c r="G634" s="14"/>
    </row>
    <row r="635" spans="1:7" ht="15">
      <c r="A635" s="29">
        <f t="shared" si="13"/>
        <v>12.006999999999996</v>
      </c>
      <c r="B635" s="6" t="s">
        <v>359</v>
      </c>
      <c r="C635" s="23" t="s">
        <v>11</v>
      </c>
      <c r="D635" s="10">
        <v>185.6</v>
      </c>
      <c r="E635" s="13"/>
      <c r="F635" s="13"/>
      <c r="G635" s="14"/>
    </row>
    <row r="636" spans="1:7" ht="15">
      <c r="A636" s="29">
        <f t="shared" si="13"/>
        <v>12.007999999999996</v>
      </c>
      <c r="B636" s="6" t="s">
        <v>411</v>
      </c>
      <c r="C636" s="23" t="s">
        <v>11</v>
      </c>
      <c r="D636" s="10">
        <v>634.4</v>
      </c>
      <c r="E636" s="13"/>
      <c r="F636" s="13"/>
      <c r="G636" s="14"/>
    </row>
    <row r="637" spans="1:7" ht="18" customHeight="1">
      <c r="A637" s="29">
        <f t="shared" si="13"/>
        <v>12.008999999999995</v>
      </c>
      <c r="B637" s="6" t="s">
        <v>413</v>
      </c>
      <c r="C637" s="23" t="s">
        <v>10</v>
      </c>
      <c r="D637" s="10">
        <f>158.69*3.2</f>
        <v>507.808</v>
      </c>
      <c r="E637" s="13"/>
      <c r="F637" s="13"/>
      <c r="G637" s="14"/>
    </row>
    <row r="638" spans="1:7" ht="15">
      <c r="A638" s="29">
        <f t="shared" si="13"/>
        <v>12.009999999999994</v>
      </c>
      <c r="B638" s="6" t="s">
        <v>325</v>
      </c>
      <c r="C638" s="23" t="s">
        <v>10</v>
      </c>
      <c r="D638" s="10">
        <f>158.69*2.7</f>
        <v>428.463</v>
      </c>
      <c r="E638" s="13"/>
      <c r="F638" s="13"/>
      <c r="G638" s="14"/>
    </row>
    <row r="639" spans="1:7" ht="15">
      <c r="A639" s="29">
        <f t="shared" si="13"/>
        <v>12.010999999999994</v>
      </c>
      <c r="B639" s="6" t="s">
        <v>323</v>
      </c>
      <c r="C639" s="23" t="s">
        <v>11</v>
      </c>
      <c r="D639" s="10">
        <f>+D638*1.413</f>
        <v>605.418219</v>
      </c>
      <c r="E639" s="13"/>
      <c r="F639" s="13"/>
      <c r="G639" s="14"/>
    </row>
    <row r="640" spans="1:7" ht="15">
      <c r="A640" s="29">
        <f t="shared" si="13"/>
        <v>12.011999999999993</v>
      </c>
      <c r="B640" s="6" t="s">
        <v>326</v>
      </c>
      <c r="C640" s="23" t="s">
        <v>10</v>
      </c>
      <c r="D640" s="10">
        <f>+D638</f>
        <v>428.463</v>
      </c>
      <c r="E640" s="13"/>
      <c r="F640" s="13"/>
      <c r="G640" s="14"/>
    </row>
    <row r="641" spans="1:7" ht="15">
      <c r="A641" s="29">
        <f t="shared" si="13"/>
        <v>12.012999999999993</v>
      </c>
      <c r="B641" s="6" t="s">
        <v>412</v>
      </c>
      <c r="C641" s="23" t="s">
        <v>11</v>
      </c>
      <c r="D641" s="10">
        <f>0.7*114</f>
        <v>79.8</v>
      </c>
      <c r="E641" s="13"/>
      <c r="F641" s="13"/>
      <c r="G641" s="14"/>
    </row>
    <row r="642" spans="1:7" ht="15">
      <c r="A642" s="29">
        <f t="shared" si="13"/>
        <v>12.013999999999992</v>
      </c>
      <c r="B642" s="6" t="s">
        <v>342</v>
      </c>
      <c r="C642" s="23" t="s">
        <v>10</v>
      </c>
      <c r="D642" s="10">
        <v>216.88</v>
      </c>
      <c r="E642" s="13"/>
      <c r="F642" s="13"/>
      <c r="G642" s="14"/>
    </row>
    <row r="643" spans="1:7" ht="15">
      <c r="A643" s="29">
        <f t="shared" si="13"/>
        <v>12.014999999999992</v>
      </c>
      <c r="B643" s="6" t="s">
        <v>414</v>
      </c>
      <c r="C643" s="23" t="s">
        <v>10</v>
      </c>
      <c r="D643" s="10">
        <f>+D642</f>
        <v>216.88</v>
      </c>
      <c r="E643" s="13"/>
      <c r="F643" s="13"/>
      <c r="G643" s="14"/>
    </row>
    <row r="644" spans="1:7" ht="15.75" thickBot="1">
      <c r="A644" s="29"/>
      <c r="B644" s="6"/>
      <c r="C644" s="23"/>
      <c r="D644" s="10"/>
      <c r="E644" s="13"/>
      <c r="F644" s="13"/>
      <c r="G644" s="14"/>
    </row>
    <row r="645" spans="1:7" ht="15.75" thickBot="1">
      <c r="A645" s="29"/>
      <c r="B645" s="6"/>
      <c r="C645" s="23"/>
      <c r="D645" s="10"/>
      <c r="E645" s="71" t="str">
        <f>+B627</f>
        <v>Pasarelas de Interconexiones</v>
      </c>
      <c r="F645" s="72"/>
      <c r="G645" s="16">
        <f>SUM(F626:F644)</f>
        <v>0</v>
      </c>
    </row>
    <row r="646" spans="1:7" ht="15.75" thickBot="1">
      <c r="A646" s="29"/>
      <c r="B646" s="6"/>
      <c r="C646" s="23"/>
      <c r="D646" s="10"/>
      <c r="E646" s="43"/>
      <c r="F646" s="43"/>
      <c r="G646" s="30"/>
    </row>
    <row r="647" spans="1:7" ht="16.5" thickBot="1">
      <c r="A647" s="28">
        <v>13</v>
      </c>
      <c r="B647" s="61" t="s">
        <v>475</v>
      </c>
      <c r="C647" s="23"/>
      <c r="D647" s="10"/>
      <c r="E647" s="43"/>
      <c r="F647" s="43"/>
      <c r="G647" s="30"/>
    </row>
    <row r="648" spans="1:7" ht="15">
      <c r="A648" s="28"/>
      <c r="B648" s="30"/>
      <c r="C648" s="23"/>
      <c r="D648" s="10"/>
      <c r="E648" s="43"/>
      <c r="F648" s="43"/>
      <c r="G648" s="30"/>
    </row>
    <row r="649" spans="1:7" ht="15.75">
      <c r="A649" s="30"/>
      <c r="B649" s="55" t="s">
        <v>484</v>
      </c>
      <c r="C649" s="30"/>
      <c r="D649" s="43"/>
      <c r="E649" s="43"/>
      <c r="F649" s="43"/>
      <c r="G649" s="30"/>
    </row>
    <row r="650" spans="1:7" ht="15">
      <c r="A650" s="29">
        <f>+A647+0.001</f>
        <v>13.001</v>
      </c>
      <c r="B650" s="6" t="s">
        <v>488</v>
      </c>
      <c r="C650" s="23" t="s">
        <v>10</v>
      </c>
      <c r="D650" s="10">
        <v>1486</v>
      </c>
      <c r="E650" s="13"/>
      <c r="F650" s="13"/>
      <c r="G650" s="14"/>
    </row>
    <row r="651" spans="1:7" ht="15">
      <c r="A651" s="29"/>
      <c r="B651" s="21" t="s">
        <v>265</v>
      </c>
      <c r="C651" s="23"/>
      <c r="D651" s="10"/>
      <c r="E651" s="13"/>
      <c r="F651" s="13"/>
      <c r="G651" s="14"/>
    </row>
    <row r="652" spans="1:7" ht="15">
      <c r="A652" s="29">
        <v>13.002</v>
      </c>
      <c r="B652" s="6" t="s">
        <v>477</v>
      </c>
      <c r="C652" s="23" t="s">
        <v>15</v>
      </c>
      <c r="D652" s="10">
        <v>222.9</v>
      </c>
      <c r="E652" s="13"/>
      <c r="F652" s="13"/>
      <c r="G652" s="14"/>
    </row>
    <row r="653" spans="1:7" ht="15">
      <c r="A653" s="29"/>
      <c r="B653" s="21" t="s">
        <v>271</v>
      </c>
      <c r="C653" s="23"/>
      <c r="D653" s="10"/>
      <c r="E653" s="13"/>
      <c r="F653" s="13"/>
      <c r="G653" s="14"/>
    </row>
    <row r="654" spans="1:7" ht="15">
      <c r="A654" s="29">
        <v>13.003</v>
      </c>
      <c r="B654" s="6" t="s">
        <v>429</v>
      </c>
      <c r="C654" s="23" t="s">
        <v>0</v>
      </c>
      <c r="D654" s="10">
        <v>427.73</v>
      </c>
      <c r="E654" s="13"/>
      <c r="F654" s="13"/>
      <c r="G654" s="14"/>
    </row>
    <row r="655" spans="1:7" ht="15">
      <c r="A655" s="29"/>
      <c r="B655" s="21" t="s">
        <v>388</v>
      </c>
      <c r="C655" s="23"/>
      <c r="D655" s="10"/>
      <c r="E655" s="13"/>
      <c r="F655" s="13"/>
      <c r="G655" s="14"/>
    </row>
    <row r="656" spans="1:7" ht="15">
      <c r="A656" s="29">
        <v>13.004</v>
      </c>
      <c r="B656" s="52" t="s">
        <v>489</v>
      </c>
      <c r="C656" s="30"/>
      <c r="D656" s="43"/>
      <c r="E656" s="43"/>
      <c r="F656" s="43"/>
      <c r="G656" s="30"/>
    </row>
    <row r="657" spans="1:7" ht="15">
      <c r="A657" s="29"/>
      <c r="B657" s="53" t="s">
        <v>479</v>
      </c>
      <c r="C657" s="23" t="s">
        <v>0</v>
      </c>
      <c r="D657" s="43">
        <v>7.962</v>
      </c>
      <c r="E657" s="13"/>
      <c r="F657" s="43"/>
      <c r="G657" s="30"/>
    </row>
    <row r="658" spans="1:7" ht="15">
      <c r="A658" s="29"/>
      <c r="B658" s="54" t="s">
        <v>480</v>
      </c>
      <c r="C658" s="23" t="s">
        <v>0</v>
      </c>
      <c r="D658" s="43">
        <v>6.769</v>
      </c>
      <c r="E658" s="13"/>
      <c r="F658" s="43"/>
      <c r="G658" s="30"/>
    </row>
    <row r="659" spans="1:7" ht="15">
      <c r="A659" s="29"/>
      <c r="B659" s="54" t="s">
        <v>481</v>
      </c>
      <c r="C659" s="23" t="s">
        <v>0</v>
      </c>
      <c r="D659" s="43">
        <v>0.324</v>
      </c>
      <c r="E659" s="13"/>
      <c r="F659" s="43"/>
      <c r="G659" s="30"/>
    </row>
    <row r="660" spans="1:7" ht="15">
      <c r="A660" s="29">
        <v>13.005</v>
      </c>
      <c r="B660" s="52" t="s">
        <v>482</v>
      </c>
      <c r="C660" s="30"/>
      <c r="D660" s="43"/>
      <c r="E660" s="43"/>
      <c r="F660" s="43"/>
      <c r="G660" s="30"/>
    </row>
    <row r="661" spans="1:7" ht="15">
      <c r="A661" s="29"/>
      <c r="B661" s="53" t="s">
        <v>479</v>
      </c>
      <c r="C661" s="23" t="s">
        <v>0</v>
      </c>
      <c r="D661" s="43">
        <v>1.243</v>
      </c>
      <c r="E661" s="13"/>
      <c r="F661" s="43"/>
      <c r="G661" s="30"/>
    </row>
    <row r="662" spans="1:7" ht="15">
      <c r="A662" s="29"/>
      <c r="B662" s="54" t="s">
        <v>480</v>
      </c>
      <c r="C662" s="23" t="s">
        <v>0</v>
      </c>
      <c r="D662" s="43">
        <v>1.042</v>
      </c>
      <c r="E662" s="13"/>
      <c r="F662" s="43"/>
      <c r="G662" s="30"/>
    </row>
    <row r="663" spans="1:7" ht="15">
      <c r="A663" s="29">
        <v>13.006</v>
      </c>
      <c r="B663" s="52" t="s">
        <v>483</v>
      </c>
      <c r="C663" s="30"/>
      <c r="D663" s="43"/>
      <c r="E663" s="43"/>
      <c r="F663" s="43"/>
      <c r="G663" s="30"/>
    </row>
    <row r="664" spans="1:7" ht="15">
      <c r="A664" s="29"/>
      <c r="B664" s="53" t="s">
        <v>479</v>
      </c>
      <c r="C664" s="23" t="s">
        <v>0</v>
      </c>
      <c r="D664" s="43">
        <v>6.63</v>
      </c>
      <c r="E664" s="13"/>
      <c r="F664" s="43"/>
      <c r="G664" s="30"/>
    </row>
    <row r="665" spans="1:7" ht="15">
      <c r="A665" s="29"/>
      <c r="B665" s="54" t="s">
        <v>480</v>
      </c>
      <c r="C665" s="23" t="s">
        <v>0</v>
      </c>
      <c r="D665" s="43">
        <v>5.555</v>
      </c>
      <c r="E665" s="13"/>
      <c r="F665" s="43"/>
      <c r="G665" s="30"/>
    </row>
    <row r="666" spans="1:7" ht="15">
      <c r="A666" s="29">
        <v>13.007</v>
      </c>
      <c r="B666" s="52" t="s">
        <v>485</v>
      </c>
      <c r="C666" s="30"/>
      <c r="D666" s="43"/>
      <c r="E666" s="43"/>
      <c r="F666" s="43"/>
      <c r="G666" s="30"/>
    </row>
    <row r="667" spans="1:7" ht="15">
      <c r="A667" s="29"/>
      <c r="B667" s="53" t="s">
        <v>479</v>
      </c>
      <c r="C667" s="23" t="s">
        <v>0</v>
      </c>
      <c r="D667" s="43">
        <v>0.932</v>
      </c>
      <c r="E667" s="13"/>
      <c r="F667" s="43"/>
      <c r="G667" s="30"/>
    </row>
    <row r="668" spans="1:7" ht="15">
      <c r="A668" s="29"/>
      <c r="B668" s="54" t="s">
        <v>480</v>
      </c>
      <c r="C668" s="23" t="s">
        <v>0</v>
      </c>
      <c r="D668" s="43">
        <v>1.042</v>
      </c>
      <c r="E668" s="13"/>
      <c r="F668" s="43"/>
      <c r="G668" s="30"/>
    </row>
    <row r="669" spans="1:7" ht="15">
      <c r="A669" s="29"/>
      <c r="B669" s="54" t="s">
        <v>486</v>
      </c>
      <c r="C669" s="23" t="s">
        <v>0</v>
      </c>
      <c r="D669" s="43">
        <v>0.174</v>
      </c>
      <c r="E669" s="13"/>
      <c r="F669" s="43"/>
      <c r="G669" s="30"/>
    </row>
    <row r="670" spans="1:7" ht="15">
      <c r="A670" s="29">
        <v>13.008</v>
      </c>
      <c r="B670" s="52" t="s">
        <v>487</v>
      </c>
      <c r="C670" s="30"/>
      <c r="D670" s="43"/>
      <c r="E670" s="43"/>
      <c r="F670" s="43"/>
      <c r="G670" s="30"/>
    </row>
    <row r="671" spans="1:7" ht="15">
      <c r="A671" s="29"/>
      <c r="B671" s="53" t="s">
        <v>479</v>
      </c>
      <c r="C671" s="23" t="s">
        <v>0</v>
      </c>
      <c r="D671" s="43">
        <v>0.829</v>
      </c>
      <c r="E671" s="13"/>
      <c r="F671" s="43"/>
      <c r="G671" s="30"/>
    </row>
    <row r="672" spans="1:7" ht="15">
      <c r="A672" s="29"/>
      <c r="B672" s="54" t="s">
        <v>480</v>
      </c>
      <c r="C672" s="23" t="s">
        <v>0</v>
      </c>
      <c r="D672" s="43">
        <v>0.694</v>
      </c>
      <c r="E672" s="13"/>
      <c r="F672" s="43"/>
      <c r="G672" s="30"/>
    </row>
    <row r="673" spans="1:7" ht="15">
      <c r="A673" s="29">
        <v>13.009</v>
      </c>
      <c r="B673" s="52" t="s">
        <v>490</v>
      </c>
      <c r="C673" s="30"/>
      <c r="D673" s="43"/>
      <c r="E673" s="43"/>
      <c r="F673" s="43"/>
      <c r="G673" s="30"/>
    </row>
    <row r="674" spans="1:7" ht="15">
      <c r="A674" s="29"/>
      <c r="B674" s="53" t="s">
        <v>479</v>
      </c>
      <c r="C674" s="23" t="s">
        <v>0</v>
      </c>
      <c r="D674" s="43">
        <v>15.333</v>
      </c>
      <c r="E674" s="13"/>
      <c r="F674" s="43"/>
      <c r="G674" s="30"/>
    </row>
    <row r="675" spans="1:7" ht="15">
      <c r="A675" s="29"/>
      <c r="B675" s="54" t="s">
        <v>480</v>
      </c>
      <c r="C675" s="23" t="s">
        <v>0</v>
      </c>
      <c r="D675" s="43">
        <v>12.846</v>
      </c>
      <c r="E675" s="13"/>
      <c r="F675" s="43"/>
      <c r="G675" s="30"/>
    </row>
    <row r="676" spans="1:7" ht="15">
      <c r="A676" s="29">
        <v>13.01</v>
      </c>
      <c r="B676" s="52" t="s">
        <v>491</v>
      </c>
      <c r="C676" s="30"/>
      <c r="D676" s="43"/>
      <c r="E676" s="43"/>
      <c r="F676" s="43"/>
      <c r="G676" s="30"/>
    </row>
    <row r="677" spans="1:7" ht="15">
      <c r="A677" s="29"/>
      <c r="B677" s="53" t="s">
        <v>479</v>
      </c>
      <c r="C677" s="23" t="s">
        <v>0</v>
      </c>
      <c r="D677" s="43">
        <v>1.709</v>
      </c>
      <c r="E677" s="13"/>
      <c r="F677" s="43"/>
      <c r="G677" s="30"/>
    </row>
    <row r="678" spans="1:7" ht="15">
      <c r="A678" s="29"/>
      <c r="B678" s="54" t="s">
        <v>480</v>
      </c>
      <c r="C678" s="23" t="s">
        <v>0</v>
      </c>
      <c r="D678" s="43">
        <v>1.432</v>
      </c>
      <c r="E678" s="13"/>
      <c r="F678" s="43"/>
      <c r="G678" s="30"/>
    </row>
    <row r="679" spans="1:7" ht="15">
      <c r="A679" s="29">
        <v>13.011</v>
      </c>
      <c r="B679" s="52" t="s">
        <v>492</v>
      </c>
      <c r="C679" s="30"/>
      <c r="D679" s="43"/>
      <c r="E679" s="43"/>
      <c r="F679" s="43"/>
      <c r="G679" s="30"/>
    </row>
    <row r="680" spans="1:7" ht="15">
      <c r="A680" s="29"/>
      <c r="B680" s="53" t="s">
        <v>479</v>
      </c>
      <c r="C680" s="23" t="s">
        <v>0</v>
      </c>
      <c r="D680" s="43">
        <v>7.666</v>
      </c>
      <c r="E680" s="13"/>
      <c r="F680" s="43"/>
      <c r="G680" s="30"/>
    </row>
    <row r="681" spans="1:7" ht="15">
      <c r="A681" s="29"/>
      <c r="B681" s="54" t="s">
        <v>480</v>
      </c>
      <c r="C681" s="23" t="s">
        <v>0</v>
      </c>
      <c r="D681" s="43">
        <v>6.423</v>
      </c>
      <c r="E681" s="13"/>
      <c r="F681" s="43"/>
      <c r="G681" s="30"/>
    </row>
    <row r="682" spans="1:7" ht="15">
      <c r="A682" s="29">
        <v>13.012</v>
      </c>
      <c r="B682" s="52" t="s">
        <v>493</v>
      </c>
      <c r="C682" s="30"/>
      <c r="D682" s="43"/>
      <c r="E682" s="43"/>
      <c r="F682" s="43"/>
      <c r="G682" s="30"/>
    </row>
    <row r="683" spans="1:7" ht="15">
      <c r="A683" s="29"/>
      <c r="B683" s="53" t="s">
        <v>479</v>
      </c>
      <c r="C683" s="23" t="s">
        <v>0</v>
      </c>
      <c r="D683" s="43">
        <v>7.252</v>
      </c>
      <c r="E683" s="13"/>
      <c r="F683" s="43"/>
      <c r="G683" s="30"/>
    </row>
    <row r="684" spans="1:7" ht="15">
      <c r="A684" s="29"/>
      <c r="B684" s="54" t="s">
        <v>480</v>
      </c>
      <c r="C684" s="23" t="s">
        <v>0</v>
      </c>
      <c r="D684" s="43">
        <v>6.076</v>
      </c>
      <c r="E684" s="13"/>
      <c r="F684" s="43"/>
      <c r="G684" s="30"/>
    </row>
    <row r="685" spans="1:7" ht="15">
      <c r="A685" s="29">
        <v>13.013</v>
      </c>
      <c r="B685" s="52" t="s">
        <v>494</v>
      </c>
      <c r="C685" s="30"/>
      <c r="D685" s="43"/>
      <c r="E685" s="43"/>
      <c r="F685" s="43"/>
      <c r="G685" s="30"/>
    </row>
    <row r="686" spans="1:7" ht="15">
      <c r="A686" s="29"/>
      <c r="B686" s="53" t="s">
        <v>479</v>
      </c>
      <c r="C686" s="23" t="s">
        <v>0</v>
      </c>
      <c r="D686" s="43">
        <v>2.563</v>
      </c>
      <c r="E686" s="13"/>
      <c r="F686" s="43"/>
      <c r="G686" s="30"/>
    </row>
    <row r="687" spans="1:7" ht="15">
      <c r="A687" s="29"/>
      <c r="B687" s="54" t="s">
        <v>480</v>
      </c>
      <c r="C687" s="23" t="s">
        <v>0</v>
      </c>
      <c r="D687" s="43">
        <v>2.179</v>
      </c>
      <c r="E687" s="13"/>
      <c r="F687" s="43"/>
      <c r="G687" s="30"/>
    </row>
    <row r="688" spans="1:7" ht="15">
      <c r="A688" s="29"/>
      <c r="B688" s="54" t="s">
        <v>481</v>
      </c>
      <c r="C688" s="23" t="s">
        <v>0</v>
      </c>
      <c r="D688" s="43">
        <v>0.726</v>
      </c>
      <c r="E688" s="13"/>
      <c r="F688" s="43"/>
      <c r="G688" s="30"/>
    </row>
    <row r="689" spans="1:7" ht="15">
      <c r="A689" s="29">
        <v>13.014</v>
      </c>
      <c r="B689" s="52" t="s">
        <v>495</v>
      </c>
      <c r="C689" s="30"/>
      <c r="D689" s="43"/>
      <c r="E689" s="43"/>
      <c r="F689" s="43"/>
      <c r="G689" s="30"/>
    </row>
    <row r="690" spans="1:7" ht="15">
      <c r="A690" s="29"/>
      <c r="B690" s="53" t="s">
        <v>479</v>
      </c>
      <c r="C690" s="23" t="s">
        <v>0</v>
      </c>
      <c r="D690" s="43">
        <v>3.364</v>
      </c>
      <c r="E690" s="13"/>
      <c r="F690" s="43"/>
      <c r="G690" s="30"/>
    </row>
    <row r="691" spans="1:7" ht="15">
      <c r="A691" s="29"/>
      <c r="B691" s="54" t="s">
        <v>480</v>
      </c>
      <c r="C691" s="23" t="s">
        <v>0</v>
      </c>
      <c r="D691" s="43">
        <v>2.86</v>
      </c>
      <c r="E691" s="13"/>
      <c r="F691" s="43"/>
      <c r="G691" s="30"/>
    </row>
    <row r="692" spans="1:7" ht="15">
      <c r="A692" s="29"/>
      <c r="B692" s="54" t="s">
        <v>481</v>
      </c>
      <c r="C692" s="23" t="s">
        <v>0</v>
      </c>
      <c r="D692" s="43">
        <v>0.953</v>
      </c>
      <c r="E692" s="13"/>
      <c r="F692" s="43"/>
      <c r="G692" s="30"/>
    </row>
    <row r="693" spans="1:7" ht="15">
      <c r="A693" s="29">
        <v>13.015</v>
      </c>
      <c r="B693" s="52" t="s">
        <v>496</v>
      </c>
      <c r="C693" s="30"/>
      <c r="D693" s="43"/>
      <c r="E693" s="43"/>
      <c r="F693" s="43"/>
      <c r="G693" s="30"/>
    </row>
    <row r="694" spans="1:7" ht="15">
      <c r="A694" s="29"/>
      <c r="B694" s="57" t="s">
        <v>525</v>
      </c>
      <c r="C694" s="30"/>
      <c r="D694" s="43"/>
      <c r="E694" s="43"/>
      <c r="F694" s="43"/>
      <c r="G694" s="30"/>
    </row>
    <row r="695" spans="1:7" ht="15">
      <c r="A695" s="29"/>
      <c r="B695" s="54" t="s">
        <v>497</v>
      </c>
      <c r="C695" s="23" t="s">
        <v>0</v>
      </c>
      <c r="D695" s="43">
        <v>7.416</v>
      </c>
      <c r="E695" s="13"/>
      <c r="F695" s="43"/>
      <c r="G695" s="30"/>
    </row>
    <row r="696" spans="1:7" ht="15">
      <c r="A696" s="30"/>
      <c r="B696" s="54" t="s">
        <v>571</v>
      </c>
      <c r="C696" s="23" t="s">
        <v>0</v>
      </c>
      <c r="D696" s="43">
        <v>2.376</v>
      </c>
      <c r="E696" s="13"/>
      <c r="F696" s="43"/>
      <c r="G696" s="30"/>
    </row>
    <row r="697" spans="1:7" ht="15">
      <c r="A697" s="30"/>
      <c r="B697" s="54" t="s">
        <v>498</v>
      </c>
      <c r="C697" s="23" t="s">
        <v>0</v>
      </c>
      <c r="D697" s="43">
        <v>0.774</v>
      </c>
      <c r="E697" s="13"/>
      <c r="F697" s="43"/>
      <c r="G697" s="30"/>
    </row>
    <row r="698" spans="1:7" ht="15">
      <c r="A698" s="30"/>
      <c r="B698" s="56" t="s">
        <v>526</v>
      </c>
      <c r="C698" s="30"/>
      <c r="D698" s="43"/>
      <c r="E698" s="13"/>
      <c r="F698" s="43"/>
      <c r="G698" s="30"/>
    </row>
    <row r="699" spans="1:7" ht="15">
      <c r="A699" s="30"/>
      <c r="B699" s="54" t="s">
        <v>497</v>
      </c>
      <c r="C699" s="23" t="s">
        <v>0</v>
      </c>
      <c r="D699" s="43">
        <v>7.416</v>
      </c>
      <c r="E699" s="13"/>
      <c r="F699" s="43"/>
      <c r="G699" s="30"/>
    </row>
    <row r="700" spans="1:7" ht="15">
      <c r="A700" s="30"/>
      <c r="B700" s="54" t="s">
        <v>499</v>
      </c>
      <c r="C700" s="23" t="s">
        <v>0</v>
      </c>
      <c r="D700" s="43">
        <v>2.376</v>
      </c>
      <c r="E700" s="13"/>
      <c r="F700" s="43"/>
      <c r="G700" s="30"/>
    </row>
    <row r="701" spans="1:7" ht="15">
      <c r="A701" s="30"/>
      <c r="B701" s="54" t="s">
        <v>500</v>
      </c>
      <c r="C701" s="23" t="s">
        <v>0</v>
      </c>
      <c r="D701" s="43">
        <v>0.774</v>
      </c>
      <c r="E701" s="13"/>
      <c r="F701" s="43"/>
      <c r="G701" s="30"/>
    </row>
    <row r="702" spans="1:7" ht="15">
      <c r="A702" s="30"/>
      <c r="B702" s="56" t="s">
        <v>527</v>
      </c>
      <c r="C702" s="30"/>
      <c r="D702" s="43"/>
      <c r="E702" s="13"/>
      <c r="F702" s="43"/>
      <c r="G702" s="30"/>
    </row>
    <row r="703" spans="1:7" ht="15">
      <c r="A703" s="30"/>
      <c r="B703" s="54" t="s">
        <v>501</v>
      </c>
      <c r="C703" s="23" t="s">
        <v>0</v>
      </c>
      <c r="D703" s="43">
        <v>7.416</v>
      </c>
      <c r="E703" s="13"/>
      <c r="F703" s="43"/>
      <c r="G703" s="30"/>
    </row>
    <row r="704" spans="1:7" ht="15">
      <c r="A704" s="30"/>
      <c r="B704" s="54" t="s">
        <v>502</v>
      </c>
      <c r="C704" s="23" t="s">
        <v>0</v>
      </c>
      <c r="D704" s="43">
        <v>1.782</v>
      </c>
      <c r="E704" s="13"/>
      <c r="F704" s="43"/>
      <c r="G704" s="30"/>
    </row>
    <row r="705" spans="1:7" ht="15">
      <c r="A705" s="30"/>
      <c r="B705" s="54" t="s">
        <v>503</v>
      </c>
      <c r="C705" s="23" t="s">
        <v>0</v>
      </c>
      <c r="D705" s="43">
        <v>1.62</v>
      </c>
      <c r="E705" s="13"/>
      <c r="F705" s="43"/>
      <c r="G705" s="30"/>
    </row>
    <row r="706" spans="1:7" ht="15">
      <c r="A706" s="30"/>
      <c r="B706" s="56" t="s">
        <v>528</v>
      </c>
      <c r="C706" s="30"/>
      <c r="D706" s="43"/>
      <c r="E706" s="13"/>
      <c r="F706" s="43"/>
      <c r="G706" s="30"/>
    </row>
    <row r="707" spans="1:7" ht="15">
      <c r="A707" s="30"/>
      <c r="B707" s="54" t="s">
        <v>501</v>
      </c>
      <c r="C707" s="23" t="s">
        <v>0</v>
      </c>
      <c r="D707" s="43">
        <v>7.416</v>
      </c>
      <c r="E707" s="13"/>
      <c r="F707" s="43"/>
      <c r="G707" s="30"/>
    </row>
    <row r="708" spans="1:7" ht="15">
      <c r="A708" s="30"/>
      <c r="B708" s="54" t="s">
        <v>504</v>
      </c>
      <c r="C708" s="23" t="s">
        <v>0</v>
      </c>
      <c r="D708" s="43">
        <v>1.782</v>
      </c>
      <c r="E708" s="13"/>
      <c r="F708" s="43"/>
      <c r="G708" s="30"/>
    </row>
    <row r="709" spans="1:7" ht="15">
      <c r="A709" s="30"/>
      <c r="B709" s="54" t="s">
        <v>503</v>
      </c>
      <c r="C709" s="23" t="s">
        <v>0</v>
      </c>
      <c r="D709" s="43">
        <v>1.62</v>
      </c>
      <c r="E709" s="13"/>
      <c r="F709" s="43"/>
      <c r="G709" s="30"/>
    </row>
    <row r="710" spans="1:7" ht="15">
      <c r="A710" s="30"/>
      <c r="B710" s="56" t="s">
        <v>523</v>
      </c>
      <c r="C710" s="30"/>
      <c r="D710" s="43"/>
      <c r="E710" s="13"/>
      <c r="F710" s="43"/>
      <c r="G710" s="30"/>
    </row>
    <row r="711" spans="1:7" ht="15">
      <c r="A711" s="30"/>
      <c r="B711" s="54" t="s">
        <v>478</v>
      </c>
      <c r="C711" s="23" t="s">
        <v>0</v>
      </c>
      <c r="D711" s="43">
        <v>1.08</v>
      </c>
      <c r="E711" s="13"/>
      <c r="F711" s="43"/>
      <c r="G711" s="30"/>
    </row>
    <row r="712" spans="1:7" ht="15">
      <c r="A712" s="30"/>
      <c r="B712" s="54" t="s">
        <v>505</v>
      </c>
      <c r="C712" s="23" t="s">
        <v>0</v>
      </c>
      <c r="D712" s="43">
        <v>1.032</v>
      </c>
      <c r="E712" s="13"/>
      <c r="F712" s="43"/>
      <c r="G712" s="30"/>
    </row>
    <row r="713" spans="1:7" ht="15">
      <c r="A713" s="30"/>
      <c r="B713" s="56" t="s">
        <v>524</v>
      </c>
      <c r="C713" s="30"/>
      <c r="D713" s="43"/>
      <c r="E713" s="13"/>
      <c r="F713" s="43"/>
      <c r="G713" s="30"/>
    </row>
    <row r="714" spans="1:7" ht="15">
      <c r="A714" s="30"/>
      <c r="B714" s="54" t="s">
        <v>478</v>
      </c>
      <c r="C714" s="23" t="s">
        <v>0</v>
      </c>
      <c r="D714" s="43">
        <v>1.08</v>
      </c>
      <c r="E714" s="13"/>
      <c r="F714" s="43"/>
      <c r="G714" s="30"/>
    </row>
    <row r="715" spans="1:7" ht="15">
      <c r="A715" s="30"/>
      <c r="B715" s="54" t="s">
        <v>505</v>
      </c>
      <c r="C715" s="23" t="s">
        <v>0</v>
      </c>
      <c r="D715" s="43">
        <v>1.032</v>
      </c>
      <c r="E715" s="13"/>
      <c r="F715" s="43"/>
      <c r="G715" s="30"/>
    </row>
    <row r="716" spans="1:7" ht="15">
      <c r="A716" s="30"/>
      <c r="B716" s="56" t="s">
        <v>529</v>
      </c>
      <c r="C716" s="30"/>
      <c r="D716" s="43"/>
      <c r="E716" s="13"/>
      <c r="F716" s="43"/>
      <c r="G716" s="30"/>
    </row>
    <row r="717" spans="1:7" ht="15">
      <c r="A717" s="30"/>
      <c r="B717" s="54" t="s">
        <v>506</v>
      </c>
      <c r="C717" s="23" t="s">
        <v>0</v>
      </c>
      <c r="D717" s="43">
        <v>2.16</v>
      </c>
      <c r="E717" s="13"/>
      <c r="F717" s="43"/>
      <c r="G717" s="30"/>
    </row>
    <row r="718" spans="1:7" ht="15">
      <c r="A718" s="30"/>
      <c r="B718" s="54" t="s">
        <v>507</v>
      </c>
      <c r="C718" s="23" t="s">
        <v>0</v>
      </c>
      <c r="D718" s="43">
        <v>1.956</v>
      </c>
      <c r="E718" s="13"/>
      <c r="F718" s="43"/>
      <c r="G718" s="30"/>
    </row>
    <row r="719" spans="1:7" ht="15">
      <c r="A719" s="30"/>
      <c r="B719" s="56" t="s">
        <v>530</v>
      </c>
      <c r="C719" s="30"/>
      <c r="D719" s="43"/>
      <c r="E719" s="13"/>
      <c r="F719" s="43"/>
      <c r="G719" s="30"/>
    </row>
    <row r="720" spans="1:7" ht="15">
      <c r="A720" s="30"/>
      <c r="B720" s="54" t="s">
        <v>506</v>
      </c>
      <c r="C720" s="23" t="s">
        <v>0</v>
      </c>
      <c r="D720" s="43">
        <v>2.16</v>
      </c>
      <c r="E720" s="13"/>
      <c r="F720" s="43"/>
      <c r="G720" s="30"/>
    </row>
    <row r="721" spans="1:7" ht="15">
      <c r="A721" s="30"/>
      <c r="B721" s="54" t="s">
        <v>507</v>
      </c>
      <c r="C721" s="23" t="s">
        <v>0</v>
      </c>
      <c r="D721" s="43">
        <v>1.956</v>
      </c>
      <c r="E721" s="13"/>
      <c r="F721" s="43"/>
      <c r="G721" s="30"/>
    </row>
    <row r="722" spans="1:7" ht="15">
      <c r="A722" s="30"/>
      <c r="B722" s="56" t="s">
        <v>531</v>
      </c>
      <c r="C722" s="30"/>
      <c r="D722" s="43"/>
      <c r="E722" s="13"/>
      <c r="F722" s="43"/>
      <c r="G722" s="30"/>
    </row>
    <row r="723" spans="1:7" ht="15">
      <c r="A723" s="30"/>
      <c r="B723" s="54" t="s">
        <v>508</v>
      </c>
      <c r="C723" s="23" t="s">
        <v>0</v>
      </c>
      <c r="D723" s="43">
        <v>1.08</v>
      </c>
      <c r="E723" s="13"/>
      <c r="F723" s="43"/>
      <c r="G723" s="30"/>
    </row>
    <row r="724" spans="1:7" ht="15">
      <c r="A724" s="30"/>
      <c r="B724" s="54" t="s">
        <v>507</v>
      </c>
      <c r="C724" s="23" t="s">
        <v>0</v>
      </c>
      <c r="D724" s="43">
        <v>0.516</v>
      </c>
      <c r="E724" s="13"/>
      <c r="F724" s="43"/>
      <c r="G724" s="30"/>
    </row>
    <row r="725" spans="1:7" ht="15">
      <c r="A725" s="29">
        <v>13.016</v>
      </c>
      <c r="B725" s="52" t="s">
        <v>509</v>
      </c>
      <c r="C725" s="30"/>
      <c r="D725" s="43"/>
      <c r="E725" s="13"/>
      <c r="F725" s="43"/>
      <c r="G725" s="30"/>
    </row>
    <row r="726" spans="1:7" ht="15">
      <c r="A726" s="30"/>
      <c r="B726" s="57" t="s">
        <v>525</v>
      </c>
      <c r="C726" s="30"/>
      <c r="D726" s="43"/>
      <c r="E726" s="43"/>
      <c r="F726" s="43"/>
      <c r="G726" s="30"/>
    </row>
    <row r="727" spans="1:7" ht="15">
      <c r="A727" s="30"/>
      <c r="B727" s="54" t="s">
        <v>478</v>
      </c>
      <c r="C727" s="23" t="s">
        <v>0</v>
      </c>
      <c r="D727" s="43">
        <v>1.125</v>
      </c>
      <c r="E727" s="13"/>
      <c r="F727" s="43"/>
      <c r="G727" s="30"/>
    </row>
    <row r="728" spans="1:7" ht="15">
      <c r="A728" s="30"/>
      <c r="B728" s="54" t="s">
        <v>510</v>
      </c>
      <c r="C728" s="23" t="s">
        <v>0</v>
      </c>
      <c r="D728" s="43">
        <v>2.43</v>
      </c>
      <c r="E728" s="13"/>
      <c r="F728" s="43"/>
      <c r="G728" s="30"/>
    </row>
    <row r="729" spans="1:7" ht="15">
      <c r="A729" s="30"/>
      <c r="B729" s="54" t="s">
        <v>511</v>
      </c>
      <c r="C729" s="23" t="s">
        <v>0</v>
      </c>
      <c r="D729" s="43">
        <v>4.77</v>
      </c>
      <c r="E729" s="13"/>
      <c r="F729" s="43"/>
      <c r="G729" s="30"/>
    </row>
    <row r="730" spans="1:7" ht="15">
      <c r="A730" s="30"/>
      <c r="B730" s="54" t="s">
        <v>512</v>
      </c>
      <c r="C730" s="23" t="s">
        <v>0</v>
      </c>
      <c r="D730" s="43">
        <v>2.16</v>
      </c>
      <c r="E730" s="13"/>
      <c r="F730" s="43"/>
      <c r="G730" s="30"/>
    </row>
    <row r="731" spans="1:7" ht="15">
      <c r="A731" s="30"/>
      <c r="B731" s="54" t="s">
        <v>513</v>
      </c>
      <c r="C731" s="23" t="s">
        <v>0</v>
      </c>
      <c r="D731" s="43">
        <v>1.35</v>
      </c>
      <c r="E731" s="13"/>
      <c r="F731" s="43"/>
      <c r="G731" s="30"/>
    </row>
    <row r="732" spans="1:7" ht="15">
      <c r="A732" s="30"/>
      <c r="B732" s="56" t="s">
        <v>526</v>
      </c>
      <c r="C732" s="30"/>
      <c r="D732" s="43"/>
      <c r="E732" s="13"/>
      <c r="F732" s="43"/>
      <c r="G732" s="30"/>
    </row>
    <row r="733" spans="1:7" ht="15">
      <c r="A733" s="30"/>
      <c r="B733" s="54" t="s">
        <v>478</v>
      </c>
      <c r="C733" s="23" t="s">
        <v>0</v>
      </c>
      <c r="D733" s="43">
        <v>1.125</v>
      </c>
      <c r="E733" s="13"/>
      <c r="F733" s="43"/>
      <c r="G733" s="30"/>
    </row>
    <row r="734" spans="1:7" ht="15">
      <c r="A734" s="30"/>
      <c r="B734" s="56" t="s">
        <v>527</v>
      </c>
      <c r="C734" s="30"/>
      <c r="D734" s="43"/>
      <c r="E734" s="13"/>
      <c r="F734" s="43"/>
      <c r="G734" s="30"/>
    </row>
    <row r="735" spans="1:7" ht="15">
      <c r="A735" s="30"/>
      <c r="B735" s="54" t="s">
        <v>514</v>
      </c>
      <c r="C735" s="23" t="s">
        <v>0</v>
      </c>
      <c r="D735" s="43">
        <v>2.46</v>
      </c>
      <c r="E735" s="13"/>
      <c r="F735" s="43"/>
      <c r="G735" s="30"/>
    </row>
    <row r="736" spans="1:7" ht="15">
      <c r="A736" s="30"/>
      <c r="B736" s="54" t="s">
        <v>510</v>
      </c>
      <c r="C736" s="23" t="s">
        <v>0</v>
      </c>
      <c r="D736" s="43">
        <v>2.49</v>
      </c>
      <c r="E736" s="13"/>
      <c r="F736" s="43"/>
      <c r="G736" s="30"/>
    </row>
    <row r="737" spans="1:7" ht="15">
      <c r="A737" s="30"/>
      <c r="B737" s="54" t="s">
        <v>515</v>
      </c>
      <c r="C737" s="23" t="s">
        <v>0</v>
      </c>
      <c r="D737" s="43">
        <v>4.77</v>
      </c>
      <c r="E737" s="13"/>
      <c r="F737" s="43"/>
      <c r="G737" s="30"/>
    </row>
    <row r="738" spans="1:7" ht="15">
      <c r="A738" s="30"/>
      <c r="B738" s="54" t="s">
        <v>516</v>
      </c>
      <c r="C738" s="23" t="s">
        <v>0</v>
      </c>
      <c r="D738" s="43">
        <v>2.7</v>
      </c>
      <c r="E738" s="13"/>
      <c r="F738" s="43"/>
      <c r="G738" s="30"/>
    </row>
    <row r="739" spans="1:7" ht="15">
      <c r="A739" s="30"/>
      <c r="B739" s="54" t="s">
        <v>517</v>
      </c>
      <c r="C739" s="23" t="s">
        <v>0</v>
      </c>
      <c r="D739" s="43">
        <v>1.08</v>
      </c>
      <c r="E739" s="13"/>
      <c r="F739" s="43"/>
      <c r="G739" s="30"/>
    </row>
    <row r="740" spans="1:7" ht="15">
      <c r="A740" s="30"/>
      <c r="B740" s="56" t="s">
        <v>528</v>
      </c>
      <c r="C740" s="30"/>
      <c r="D740" s="43"/>
      <c r="E740" s="13"/>
      <c r="F740" s="43"/>
      <c r="G740" s="30"/>
    </row>
    <row r="741" spans="1:7" ht="15">
      <c r="A741" s="30"/>
      <c r="B741" s="54" t="s">
        <v>434</v>
      </c>
      <c r="C741" s="23" t="s">
        <v>0</v>
      </c>
      <c r="D741" s="43">
        <v>1.215</v>
      </c>
      <c r="E741" s="13"/>
      <c r="F741" s="43"/>
      <c r="G741" s="30"/>
    </row>
    <row r="742" spans="1:7" ht="15">
      <c r="A742" s="30"/>
      <c r="B742" s="56" t="s">
        <v>532</v>
      </c>
      <c r="C742" s="23"/>
      <c r="D742" s="43"/>
      <c r="E742" s="13"/>
      <c r="F742" s="43"/>
      <c r="G742" s="30"/>
    </row>
    <row r="743" spans="1:7" ht="15">
      <c r="A743" s="30"/>
      <c r="B743" s="54" t="s">
        <v>478</v>
      </c>
      <c r="C743" s="23" t="s">
        <v>0</v>
      </c>
      <c r="D743" s="43">
        <v>4.83</v>
      </c>
      <c r="E743" s="13"/>
      <c r="F743" s="43"/>
      <c r="G743" s="30"/>
    </row>
    <row r="744" spans="1:7" ht="15">
      <c r="A744" s="30"/>
      <c r="B744" s="54" t="s">
        <v>505</v>
      </c>
      <c r="C744" s="23" t="s">
        <v>0</v>
      </c>
      <c r="D744" s="43">
        <v>2.43</v>
      </c>
      <c r="E744" s="13"/>
      <c r="F744" s="43"/>
      <c r="G744" s="30"/>
    </row>
    <row r="745" spans="1:7" ht="15">
      <c r="A745" s="30"/>
      <c r="B745" s="54" t="s">
        <v>433</v>
      </c>
      <c r="C745" s="23" t="s">
        <v>0</v>
      </c>
      <c r="D745" s="43">
        <v>1.14</v>
      </c>
      <c r="E745" s="13"/>
      <c r="F745" s="43"/>
      <c r="G745" s="30"/>
    </row>
    <row r="746" spans="1:7" ht="15">
      <c r="A746" s="30"/>
      <c r="B746" s="54" t="s">
        <v>434</v>
      </c>
      <c r="C746" s="23" t="s">
        <v>0</v>
      </c>
      <c r="D746" s="43">
        <v>1.41</v>
      </c>
      <c r="E746" s="13"/>
      <c r="F746" s="43"/>
      <c r="G746" s="30"/>
    </row>
    <row r="747" spans="1:7" ht="15">
      <c r="A747" s="30"/>
      <c r="B747" s="56" t="s">
        <v>533</v>
      </c>
      <c r="C747" s="23"/>
      <c r="D747" s="43"/>
      <c r="E747" s="13"/>
      <c r="F747" s="43"/>
      <c r="G747" s="30"/>
    </row>
    <row r="748" spans="1:7" ht="15">
      <c r="A748" s="30"/>
      <c r="B748" s="54" t="s">
        <v>478</v>
      </c>
      <c r="C748" s="23" t="s">
        <v>0</v>
      </c>
      <c r="D748" s="43">
        <v>4.83</v>
      </c>
      <c r="E748" s="13"/>
      <c r="F748" s="43"/>
      <c r="G748" s="30"/>
    </row>
    <row r="749" spans="1:7" ht="15">
      <c r="A749" s="30"/>
      <c r="B749" s="54" t="s">
        <v>505</v>
      </c>
      <c r="C749" s="23" t="s">
        <v>0</v>
      </c>
      <c r="D749" s="43">
        <v>2.43</v>
      </c>
      <c r="E749" s="13"/>
      <c r="F749" s="43"/>
      <c r="G749" s="30"/>
    </row>
    <row r="750" spans="1:7" ht="15">
      <c r="A750" s="30"/>
      <c r="B750" s="54" t="s">
        <v>433</v>
      </c>
      <c r="C750" s="23" t="s">
        <v>0</v>
      </c>
      <c r="D750" s="43">
        <v>1.14</v>
      </c>
      <c r="E750" s="13"/>
      <c r="F750" s="43"/>
      <c r="G750" s="30"/>
    </row>
    <row r="751" spans="1:7" ht="15">
      <c r="A751" s="30"/>
      <c r="B751" s="54" t="s">
        <v>434</v>
      </c>
      <c r="C751" s="23" t="s">
        <v>0</v>
      </c>
      <c r="D751" s="43">
        <v>1.41</v>
      </c>
      <c r="E751" s="13"/>
      <c r="F751" s="43"/>
      <c r="G751" s="30"/>
    </row>
    <row r="752" spans="1:7" ht="15">
      <c r="A752" s="29">
        <v>13.017</v>
      </c>
      <c r="B752" s="52" t="s">
        <v>518</v>
      </c>
      <c r="C752" s="23"/>
      <c r="D752" s="43"/>
      <c r="E752" s="13"/>
      <c r="F752" s="43"/>
      <c r="G752" s="30"/>
    </row>
    <row r="753" spans="1:7" ht="15">
      <c r="A753" s="30"/>
      <c r="B753" s="57" t="s">
        <v>523</v>
      </c>
      <c r="C753" s="30"/>
      <c r="D753" s="43"/>
      <c r="E753" s="43"/>
      <c r="F753" s="43"/>
      <c r="G753" s="30"/>
    </row>
    <row r="754" spans="1:7" ht="15">
      <c r="A754" s="30"/>
      <c r="B754" s="54" t="s">
        <v>478</v>
      </c>
      <c r="C754" s="23" t="s">
        <v>0</v>
      </c>
      <c r="D754" s="43">
        <v>0.72</v>
      </c>
      <c r="E754" s="13"/>
      <c r="F754" s="43"/>
      <c r="G754" s="30"/>
    </row>
    <row r="755" spans="1:7" ht="15">
      <c r="A755" s="30"/>
      <c r="B755" s="54" t="s">
        <v>433</v>
      </c>
      <c r="C755" s="23" t="s">
        <v>0</v>
      </c>
      <c r="D755" s="43">
        <v>1.68</v>
      </c>
      <c r="E755" s="13"/>
      <c r="F755" s="43"/>
      <c r="G755" s="30"/>
    </row>
    <row r="756" spans="1:7" ht="15">
      <c r="A756" s="30"/>
      <c r="B756" s="54" t="s">
        <v>434</v>
      </c>
      <c r="C756" s="23" t="s">
        <v>0</v>
      </c>
      <c r="D756" s="43">
        <v>1.376</v>
      </c>
      <c r="E756" s="13"/>
      <c r="F756" s="43"/>
      <c r="G756" s="30"/>
    </row>
    <row r="757" spans="1:7" ht="15">
      <c r="A757" s="30"/>
      <c r="B757" s="56" t="s">
        <v>524</v>
      </c>
      <c r="C757" s="23"/>
      <c r="D757" s="43"/>
      <c r="E757" s="13"/>
      <c r="F757" s="43"/>
      <c r="G757" s="30"/>
    </row>
    <row r="758" spans="1:7" ht="15">
      <c r="A758" s="30"/>
      <c r="B758" s="54" t="s">
        <v>478</v>
      </c>
      <c r="C758" s="23" t="s">
        <v>0</v>
      </c>
      <c r="D758" s="43">
        <v>0.72</v>
      </c>
      <c r="E758" s="13"/>
      <c r="F758" s="43"/>
      <c r="G758" s="30"/>
    </row>
    <row r="759" spans="1:7" ht="15">
      <c r="A759" s="30"/>
      <c r="B759" s="54" t="s">
        <v>433</v>
      </c>
      <c r="C759" s="23" t="s">
        <v>0</v>
      </c>
      <c r="D759" s="43">
        <v>1.68</v>
      </c>
      <c r="E759" s="13"/>
      <c r="F759" s="43"/>
      <c r="G759" s="30"/>
    </row>
    <row r="760" spans="1:7" ht="15">
      <c r="A760" s="30"/>
      <c r="B760" s="54" t="s">
        <v>434</v>
      </c>
      <c r="C760" s="23" t="s">
        <v>0</v>
      </c>
      <c r="D760" s="43">
        <v>0.688</v>
      </c>
      <c r="E760" s="13"/>
      <c r="F760" s="43"/>
      <c r="G760" s="30"/>
    </row>
    <row r="761" spans="1:7" ht="15">
      <c r="A761" s="30"/>
      <c r="B761" s="56" t="s">
        <v>521</v>
      </c>
      <c r="C761" s="23"/>
      <c r="D761" s="43"/>
      <c r="E761" s="13"/>
      <c r="F761" s="43"/>
      <c r="G761" s="30"/>
    </row>
    <row r="762" spans="1:7" ht="15">
      <c r="A762" s="30"/>
      <c r="B762" s="54" t="s">
        <v>434</v>
      </c>
      <c r="C762" s="23" t="s">
        <v>0</v>
      </c>
      <c r="D762" s="43">
        <v>0.688</v>
      </c>
      <c r="E762" s="13"/>
      <c r="F762" s="43"/>
      <c r="G762" s="30"/>
    </row>
    <row r="763" spans="1:7" ht="15">
      <c r="A763" s="30"/>
      <c r="B763" s="54" t="s">
        <v>519</v>
      </c>
      <c r="C763" s="23" t="s">
        <v>0</v>
      </c>
      <c r="D763" s="43">
        <v>0.84</v>
      </c>
      <c r="E763" s="13"/>
      <c r="F763" s="43"/>
      <c r="G763" s="30"/>
    </row>
    <row r="764" spans="1:7" ht="15">
      <c r="A764" s="30"/>
      <c r="B764" s="56" t="s">
        <v>522</v>
      </c>
      <c r="C764" s="23"/>
      <c r="D764" s="43"/>
      <c r="E764" s="13"/>
      <c r="F764" s="43"/>
      <c r="G764" s="30"/>
    </row>
    <row r="765" spans="1:7" ht="15">
      <c r="A765" s="30"/>
      <c r="B765" s="54" t="s">
        <v>434</v>
      </c>
      <c r="C765" s="23" t="s">
        <v>0</v>
      </c>
      <c r="D765" s="43">
        <v>0.688</v>
      </c>
      <c r="E765" s="13"/>
      <c r="F765" s="43"/>
      <c r="G765" s="30"/>
    </row>
    <row r="766" spans="1:7" ht="15">
      <c r="A766" s="30"/>
      <c r="B766" s="54" t="s">
        <v>519</v>
      </c>
      <c r="C766" s="23" t="s">
        <v>0</v>
      </c>
      <c r="D766" s="43">
        <v>0.84</v>
      </c>
      <c r="E766" s="13"/>
      <c r="F766" s="43"/>
      <c r="G766" s="30"/>
    </row>
    <row r="767" spans="1:7" ht="15">
      <c r="A767" s="30"/>
      <c r="B767" s="56" t="s">
        <v>520</v>
      </c>
      <c r="C767" s="23"/>
      <c r="D767" s="43"/>
      <c r="E767" s="13"/>
      <c r="F767" s="43"/>
      <c r="G767" s="30"/>
    </row>
    <row r="768" spans="1:7" ht="15">
      <c r="A768" s="30"/>
      <c r="B768" s="54" t="s">
        <v>434</v>
      </c>
      <c r="C768" s="23" t="s">
        <v>0</v>
      </c>
      <c r="D768" s="43">
        <v>0.344</v>
      </c>
      <c r="E768" s="13"/>
      <c r="F768" s="43"/>
      <c r="G768" s="30"/>
    </row>
    <row r="769" spans="1:7" ht="15">
      <c r="A769" s="30"/>
      <c r="B769" s="54" t="s">
        <v>519</v>
      </c>
      <c r="C769" s="23" t="s">
        <v>0</v>
      </c>
      <c r="D769" s="43">
        <v>0.84</v>
      </c>
      <c r="E769" s="13"/>
      <c r="F769" s="43"/>
      <c r="G769" s="30"/>
    </row>
    <row r="770" spans="1:7" ht="15">
      <c r="A770" s="29">
        <v>13.018</v>
      </c>
      <c r="B770" s="52" t="s">
        <v>534</v>
      </c>
      <c r="C770" s="30"/>
      <c r="D770" s="43"/>
      <c r="E770" s="43"/>
      <c r="F770" s="43"/>
      <c r="G770" s="30"/>
    </row>
    <row r="771" spans="1:7" ht="15">
      <c r="A771" s="30"/>
      <c r="B771" s="57" t="s">
        <v>525</v>
      </c>
      <c r="C771" s="23"/>
      <c r="D771" s="43"/>
      <c r="E771" s="43"/>
      <c r="F771" s="43"/>
      <c r="G771" s="30"/>
    </row>
    <row r="772" spans="1:7" ht="15">
      <c r="A772" s="30"/>
      <c r="B772" s="54" t="s">
        <v>280</v>
      </c>
      <c r="C772" s="23" t="s">
        <v>0</v>
      </c>
      <c r="D772" s="43">
        <v>1.52</v>
      </c>
      <c r="E772" s="13"/>
      <c r="F772" s="43"/>
      <c r="G772" s="30"/>
    </row>
    <row r="773" spans="1:7" ht="15">
      <c r="A773" s="30"/>
      <c r="B773" s="56" t="s">
        <v>535</v>
      </c>
      <c r="C773" s="23"/>
      <c r="D773" s="43"/>
      <c r="E773" s="13"/>
      <c r="F773" s="43"/>
      <c r="G773" s="30"/>
    </row>
    <row r="774" spans="1:7" ht="15">
      <c r="A774" s="30"/>
      <c r="B774" s="54" t="s">
        <v>280</v>
      </c>
      <c r="C774" s="23" t="s">
        <v>0</v>
      </c>
      <c r="D774" s="43">
        <v>1.52</v>
      </c>
      <c r="E774" s="13"/>
      <c r="F774" s="43"/>
      <c r="G774" s="30"/>
    </row>
    <row r="775" spans="1:7" ht="15">
      <c r="A775" s="30"/>
      <c r="B775" s="56" t="s">
        <v>532</v>
      </c>
      <c r="C775" s="23"/>
      <c r="D775" s="43"/>
      <c r="E775" s="13"/>
      <c r="F775" s="43"/>
      <c r="G775" s="30"/>
    </row>
    <row r="776" spans="1:7" ht="15">
      <c r="A776" s="30"/>
      <c r="B776" s="54" t="s">
        <v>280</v>
      </c>
      <c r="C776" s="23" t="s">
        <v>0</v>
      </c>
      <c r="D776" s="43">
        <v>1.52</v>
      </c>
      <c r="E776" s="13"/>
      <c r="F776" s="43"/>
      <c r="G776" s="30"/>
    </row>
    <row r="777" spans="1:7" ht="15">
      <c r="A777" s="30"/>
      <c r="B777" s="56" t="s">
        <v>533</v>
      </c>
      <c r="C777" s="23"/>
      <c r="D777" s="43"/>
      <c r="E777" s="13"/>
      <c r="F777" s="43"/>
      <c r="G777" s="30"/>
    </row>
    <row r="778" spans="1:7" ht="15">
      <c r="A778" s="30"/>
      <c r="B778" s="54" t="s">
        <v>280</v>
      </c>
      <c r="C778" s="23" t="s">
        <v>0</v>
      </c>
      <c r="D778" s="43">
        <v>1.52</v>
      </c>
      <c r="E778" s="13"/>
      <c r="F778" s="43"/>
      <c r="G778" s="30"/>
    </row>
    <row r="779" spans="1:7" ht="15">
      <c r="A779" s="29">
        <v>13.019</v>
      </c>
      <c r="B779" s="52" t="s">
        <v>536</v>
      </c>
      <c r="C779" s="30"/>
      <c r="D779" s="43"/>
      <c r="E779" s="43"/>
      <c r="F779" s="43"/>
      <c r="G779" s="30"/>
    </row>
    <row r="780" spans="1:7" ht="15">
      <c r="A780" s="30"/>
      <c r="B780" s="56" t="s">
        <v>537</v>
      </c>
      <c r="C780" s="30"/>
      <c r="D780" s="43"/>
      <c r="E780" s="43"/>
      <c r="F780" s="43"/>
      <c r="G780" s="30"/>
    </row>
    <row r="781" spans="1:7" ht="15">
      <c r="A781" s="30"/>
      <c r="B781" s="58" t="s">
        <v>500</v>
      </c>
      <c r="C781" s="23" t="s">
        <v>0</v>
      </c>
      <c r="D781" s="43">
        <v>3.329</v>
      </c>
      <c r="E781" s="13"/>
      <c r="F781" s="43"/>
      <c r="G781" s="30"/>
    </row>
    <row r="782" spans="1:7" ht="15">
      <c r="A782" s="30"/>
      <c r="B782" s="58" t="s">
        <v>538</v>
      </c>
      <c r="C782" s="23" t="s">
        <v>0</v>
      </c>
      <c r="D782" s="43">
        <v>3.922</v>
      </c>
      <c r="E782" s="13"/>
      <c r="F782" s="43"/>
      <c r="G782" s="30"/>
    </row>
    <row r="783" spans="1:7" ht="15">
      <c r="A783" s="30"/>
      <c r="B783" s="58" t="s">
        <v>539</v>
      </c>
      <c r="C783" s="23" t="s">
        <v>0</v>
      </c>
      <c r="D783" s="43">
        <v>4.512</v>
      </c>
      <c r="E783" s="13"/>
      <c r="F783" s="43"/>
      <c r="G783" s="30"/>
    </row>
    <row r="784" spans="1:7" ht="15">
      <c r="A784" s="30"/>
      <c r="B784" s="56" t="s">
        <v>540</v>
      </c>
      <c r="C784" s="23"/>
      <c r="D784" s="43"/>
      <c r="E784" s="13"/>
      <c r="F784" s="43"/>
      <c r="G784" s="30"/>
    </row>
    <row r="785" spans="1:7" ht="15">
      <c r="A785" s="30"/>
      <c r="B785" s="58" t="s">
        <v>539</v>
      </c>
      <c r="C785" s="23" t="s">
        <v>0</v>
      </c>
      <c r="D785" s="43">
        <v>9.024</v>
      </c>
      <c r="E785" s="13"/>
      <c r="F785" s="43"/>
      <c r="G785" s="30"/>
    </row>
    <row r="786" spans="1:7" ht="15">
      <c r="A786" s="30"/>
      <c r="B786" s="58" t="s">
        <v>541</v>
      </c>
      <c r="C786" s="23" t="s">
        <v>0</v>
      </c>
      <c r="D786" s="43">
        <v>3.329</v>
      </c>
      <c r="E786" s="13"/>
      <c r="F786" s="43"/>
      <c r="G786" s="30"/>
    </row>
    <row r="787" spans="1:7" ht="15">
      <c r="A787" s="30"/>
      <c r="B787" s="56" t="s">
        <v>542</v>
      </c>
      <c r="C787" s="23"/>
      <c r="D787" s="43"/>
      <c r="E787" s="13"/>
      <c r="F787" s="43"/>
      <c r="G787" s="30"/>
    </row>
    <row r="788" spans="1:7" ht="15">
      <c r="A788" s="30"/>
      <c r="B788" s="58" t="s">
        <v>507</v>
      </c>
      <c r="C788" s="23" t="s">
        <v>0</v>
      </c>
      <c r="D788" s="43">
        <v>3.158</v>
      </c>
      <c r="E788" s="13"/>
      <c r="F788" s="43"/>
      <c r="G788" s="30"/>
    </row>
    <row r="789" spans="1:7" ht="15">
      <c r="A789" s="30"/>
      <c r="B789" s="58" t="s">
        <v>519</v>
      </c>
      <c r="C789" s="23" t="s">
        <v>0</v>
      </c>
      <c r="D789" s="43">
        <v>2.234</v>
      </c>
      <c r="E789" s="13"/>
      <c r="F789" s="43"/>
      <c r="G789" s="30"/>
    </row>
    <row r="790" spans="1:7" ht="15">
      <c r="A790" s="29">
        <v>13.02</v>
      </c>
      <c r="B790" s="52" t="s">
        <v>549</v>
      </c>
      <c r="C790" s="30"/>
      <c r="D790" s="43"/>
      <c r="E790" s="43"/>
      <c r="F790" s="43"/>
      <c r="G790" s="30"/>
    </row>
    <row r="791" spans="1:7" ht="15">
      <c r="A791" s="30"/>
      <c r="B791" s="56" t="s">
        <v>537</v>
      </c>
      <c r="C791" s="30"/>
      <c r="D791" s="43"/>
      <c r="E791" s="43"/>
      <c r="F791" s="43"/>
      <c r="G791" s="30"/>
    </row>
    <row r="792" spans="1:7" ht="15">
      <c r="A792" s="30"/>
      <c r="B792" s="58" t="s">
        <v>517</v>
      </c>
      <c r="C792" s="23" t="s">
        <v>0</v>
      </c>
      <c r="D792" s="43">
        <v>1.944</v>
      </c>
      <c r="E792" s="13"/>
      <c r="F792" s="43"/>
      <c r="G792" s="30"/>
    </row>
    <row r="793" spans="1:7" ht="15">
      <c r="A793" s="30"/>
      <c r="B793" s="58" t="s">
        <v>544</v>
      </c>
      <c r="C793" s="23" t="s">
        <v>0</v>
      </c>
      <c r="D793" s="43">
        <v>4.651</v>
      </c>
      <c r="E793" s="13"/>
      <c r="F793" s="43"/>
      <c r="G793" s="30"/>
    </row>
    <row r="794" spans="1:7" ht="15">
      <c r="A794" s="30"/>
      <c r="B794" s="56" t="s">
        <v>540</v>
      </c>
      <c r="C794" s="23"/>
      <c r="D794" s="43"/>
      <c r="E794" s="13"/>
      <c r="F794" s="43"/>
      <c r="G794" s="30"/>
    </row>
    <row r="795" spans="1:7" ht="15">
      <c r="A795" s="30"/>
      <c r="B795" s="58" t="s">
        <v>545</v>
      </c>
      <c r="C795" s="23" t="s">
        <v>0</v>
      </c>
      <c r="D795" s="43">
        <v>3.888</v>
      </c>
      <c r="E795" s="13"/>
      <c r="F795" s="43"/>
      <c r="G795" s="30"/>
    </row>
    <row r="796" spans="1:7" ht="15">
      <c r="A796" s="30"/>
      <c r="B796" s="58" t="s">
        <v>546</v>
      </c>
      <c r="C796" s="23" t="s">
        <v>0</v>
      </c>
      <c r="D796" s="43">
        <v>2.399</v>
      </c>
      <c r="E796" s="13"/>
      <c r="F796" s="43"/>
      <c r="G796" s="30"/>
    </row>
    <row r="797" spans="1:7" ht="15">
      <c r="A797" s="30"/>
      <c r="B797" s="56" t="s">
        <v>547</v>
      </c>
      <c r="C797" s="23"/>
      <c r="D797" s="43"/>
      <c r="E797" s="13"/>
      <c r="F797" s="43"/>
      <c r="G797" s="30"/>
    </row>
    <row r="798" spans="1:7" ht="15">
      <c r="A798" s="30"/>
      <c r="B798" s="58" t="s">
        <v>508</v>
      </c>
      <c r="C798" s="23" t="s">
        <v>0</v>
      </c>
      <c r="D798" s="43">
        <v>1.458</v>
      </c>
      <c r="E798" s="13"/>
      <c r="F798" s="43"/>
      <c r="G798" s="30"/>
    </row>
    <row r="799" spans="1:7" ht="15">
      <c r="A799" s="30"/>
      <c r="B799" s="58" t="s">
        <v>281</v>
      </c>
      <c r="C799" s="23" t="s">
        <v>0</v>
      </c>
      <c r="D799" s="43">
        <v>2.013</v>
      </c>
      <c r="E799" s="13"/>
      <c r="F799" s="43"/>
      <c r="G799" s="30"/>
    </row>
    <row r="800" spans="1:7" ht="15">
      <c r="A800" s="30"/>
      <c r="B800" s="56" t="s">
        <v>548</v>
      </c>
      <c r="C800" s="23"/>
      <c r="D800" s="43"/>
      <c r="E800" s="13"/>
      <c r="F800" s="43"/>
      <c r="G800" s="30"/>
    </row>
    <row r="801" spans="1:7" ht="15">
      <c r="A801" s="30"/>
      <c r="B801" s="58" t="s">
        <v>508</v>
      </c>
      <c r="C801" s="23" t="s">
        <v>0</v>
      </c>
      <c r="D801" s="43">
        <v>2.898</v>
      </c>
      <c r="E801" s="13"/>
      <c r="F801" s="43"/>
      <c r="G801" s="30"/>
    </row>
    <row r="802" spans="1:7" ht="15">
      <c r="A802" s="30"/>
      <c r="B802" s="58" t="s">
        <v>281</v>
      </c>
      <c r="C802" s="23" t="s">
        <v>0</v>
      </c>
      <c r="D802" s="43">
        <v>1.013</v>
      </c>
      <c r="E802" s="13"/>
      <c r="F802" s="43"/>
      <c r="G802" s="30"/>
    </row>
    <row r="803" spans="1:7" ht="15">
      <c r="A803" s="29">
        <v>13.021</v>
      </c>
      <c r="B803" s="52" t="s">
        <v>543</v>
      </c>
      <c r="C803" s="30"/>
      <c r="D803" s="43"/>
      <c r="E803" s="43"/>
      <c r="F803" s="43"/>
      <c r="G803" s="30"/>
    </row>
    <row r="804" spans="1:7" ht="15">
      <c r="A804" s="30"/>
      <c r="B804" s="56" t="s">
        <v>537</v>
      </c>
      <c r="C804" s="30"/>
      <c r="D804" s="43"/>
      <c r="E804" s="43"/>
      <c r="F804" s="43"/>
      <c r="G804" s="30"/>
    </row>
    <row r="805" spans="1:7" ht="15">
      <c r="A805" s="30"/>
      <c r="B805" s="58" t="s">
        <v>550</v>
      </c>
      <c r="C805" s="23" t="s">
        <v>0</v>
      </c>
      <c r="D805" s="43">
        <v>1.555</v>
      </c>
      <c r="E805" s="13"/>
      <c r="F805" s="43"/>
      <c r="G805" s="30"/>
    </row>
    <row r="806" spans="1:7" ht="15">
      <c r="A806" s="30"/>
      <c r="B806" s="58" t="s">
        <v>551</v>
      </c>
      <c r="C806" s="23" t="s">
        <v>0</v>
      </c>
      <c r="D806" s="43">
        <v>3.275</v>
      </c>
      <c r="E806" s="13"/>
      <c r="F806" s="43"/>
      <c r="G806" s="30"/>
    </row>
    <row r="807" spans="1:7" ht="15">
      <c r="A807" s="30"/>
      <c r="B807" s="58" t="s">
        <v>552</v>
      </c>
      <c r="C807" s="23" t="s">
        <v>0</v>
      </c>
      <c r="D807" s="43">
        <v>2.736</v>
      </c>
      <c r="E807" s="13"/>
      <c r="F807" s="43"/>
      <c r="G807" s="30"/>
    </row>
    <row r="808" spans="1:7" ht="15">
      <c r="A808" s="30"/>
      <c r="B808" s="56" t="s">
        <v>540</v>
      </c>
      <c r="C808" s="23"/>
      <c r="D808" s="43"/>
      <c r="E808" s="13"/>
      <c r="F808" s="43"/>
      <c r="G808" s="30"/>
    </row>
    <row r="809" spans="1:7" ht="15">
      <c r="A809" s="30"/>
      <c r="B809" s="58" t="s">
        <v>553</v>
      </c>
      <c r="C809" s="23" t="s">
        <v>0</v>
      </c>
      <c r="D809" s="43">
        <v>3.11</v>
      </c>
      <c r="E809" s="13"/>
      <c r="F809" s="43"/>
      <c r="G809" s="30"/>
    </row>
    <row r="810" spans="1:7" ht="15">
      <c r="A810" s="30"/>
      <c r="B810" s="58" t="s">
        <v>554</v>
      </c>
      <c r="C810" s="23" t="s">
        <v>0</v>
      </c>
      <c r="D810" s="43">
        <v>1.673</v>
      </c>
      <c r="E810" s="13"/>
      <c r="F810" s="43"/>
      <c r="G810" s="30"/>
    </row>
    <row r="811" spans="1:7" ht="15">
      <c r="A811" s="30"/>
      <c r="B811" s="58" t="s">
        <v>552</v>
      </c>
      <c r="C811" s="23" t="s">
        <v>0</v>
      </c>
      <c r="D811" s="43">
        <v>2.736</v>
      </c>
      <c r="E811" s="13"/>
      <c r="F811" s="43"/>
      <c r="G811" s="30"/>
    </row>
    <row r="812" spans="1:7" ht="15">
      <c r="A812" s="30"/>
      <c r="B812" s="56" t="s">
        <v>547</v>
      </c>
      <c r="C812" s="23"/>
      <c r="D812" s="43"/>
      <c r="E812" s="13"/>
      <c r="F812" s="43"/>
      <c r="G812" s="30"/>
    </row>
    <row r="813" spans="1:7" ht="15">
      <c r="A813" s="30"/>
      <c r="B813" s="58" t="s">
        <v>435</v>
      </c>
      <c r="C813" s="23" t="s">
        <v>0</v>
      </c>
      <c r="D813" s="43">
        <v>1.458</v>
      </c>
      <c r="E813" s="13"/>
      <c r="F813" s="43"/>
      <c r="G813" s="30"/>
    </row>
    <row r="814" spans="1:7" ht="15">
      <c r="A814" s="30"/>
      <c r="B814" s="58" t="s">
        <v>281</v>
      </c>
      <c r="C814" s="23" t="s">
        <v>0</v>
      </c>
      <c r="D814" s="43">
        <v>2.673</v>
      </c>
      <c r="E814" s="13"/>
      <c r="F814" s="43"/>
      <c r="G814" s="30"/>
    </row>
    <row r="815" spans="1:7" ht="15">
      <c r="A815" s="30"/>
      <c r="B815" s="58" t="s">
        <v>280</v>
      </c>
      <c r="C815" s="23" t="s">
        <v>0</v>
      </c>
      <c r="D815" s="43">
        <v>1.961</v>
      </c>
      <c r="E815" s="13"/>
      <c r="F815" s="43"/>
      <c r="G815" s="30"/>
    </row>
    <row r="816" spans="1:7" ht="15">
      <c r="A816" s="30"/>
      <c r="B816" s="58" t="s">
        <v>280</v>
      </c>
      <c r="C816" s="23" t="s">
        <v>0</v>
      </c>
      <c r="D816" s="43">
        <v>1.672</v>
      </c>
      <c r="E816" s="43"/>
      <c r="F816" s="43"/>
      <c r="G816" s="30"/>
    </row>
    <row r="817" spans="1:7" ht="15">
      <c r="A817" s="30"/>
      <c r="B817" s="56" t="s">
        <v>548</v>
      </c>
      <c r="C817" s="23"/>
      <c r="D817" s="43"/>
      <c r="E817" s="43"/>
      <c r="F817" s="43"/>
      <c r="G817" s="30"/>
    </row>
    <row r="818" spans="1:7" ht="15">
      <c r="A818" s="30"/>
      <c r="B818" s="58" t="s">
        <v>435</v>
      </c>
      <c r="C818" s="23" t="s">
        <v>0</v>
      </c>
      <c r="D818" s="43">
        <v>2.93</v>
      </c>
      <c r="E818" s="13"/>
      <c r="F818" s="43"/>
      <c r="G818" s="30"/>
    </row>
    <row r="819" spans="1:7" ht="15">
      <c r="A819" s="30"/>
      <c r="B819" s="58" t="s">
        <v>281</v>
      </c>
      <c r="C819" s="23" t="s">
        <v>0</v>
      </c>
      <c r="D819" s="43">
        <v>1.361</v>
      </c>
      <c r="E819" s="13"/>
      <c r="F819" s="43"/>
      <c r="G819" s="30"/>
    </row>
    <row r="820" spans="1:7" ht="15">
      <c r="A820" s="30"/>
      <c r="B820" s="58" t="s">
        <v>280</v>
      </c>
      <c r="C820" s="23" t="s">
        <v>0</v>
      </c>
      <c r="D820" s="43">
        <v>1.961</v>
      </c>
      <c r="E820" s="13"/>
      <c r="F820" s="43"/>
      <c r="G820" s="30"/>
    </row>
    <row r="821" spans="1:7" ht="15">
      <c r="A821" s="30"/>
      <c r="B821" s="58" t="s">
        <v>280</v>
      </c>
      <c r="C821" s="23" t="s">
        <v>0</v>
      </c>
      <c r="D821" s="43">
        <v>1.672</v>
      </c>
      <c r="E821" s="13"/>
      <c r="F821" s="43"/>
      <c r="G821" s="30"/>
    </row>
    <row r="822" spans="1:7" ht="15">
      <c r="A822" s="29">
        <v>13.022</v>
      </c>
      <c r="B822" s="52" t="s">
        <v>555</v>
      </c>
      <c r="C822" s="30"/>
      <c r="D822" s="43"/>
      <c r="E822" s="13"/>
      <c r="F822" s="43"/>
      <c r="G822" s="30"/>
    </row>
    <row r="823" spans="1:7" ht="15">
      <c r="A823" s="30"/>
      <c r="B823" s="59" t="s">
        <v>537</v>
      </c>
      <c r="C823" s="23" t="s">
        <v>0</v>
      </c>
      <c r="D823" s="43">
        <v>1.56</v>
      </c>
      <c r="E823" s="13"/>
      <c r="F823" s="43"/>
      <c r="G823" s="30"/>
    </row>
    <row r="824" spans="1:7" ht="15">
      <c r="A824" s="30"/>
      <c r="B824" s="58" t="s">
        <v>540</v>
      </c>
      <c r="C824" s="23" t="s">
        <v>0</v>
      </c>
      <c r="D824" s="43">
        <v>1.56</v>
      </c>
      <c r="E824" s="13"/>
      <c r="F824" s="43"/>
      <c r="G824" s="30"/>
    </row>
    <row r="825" spans="1:7" ht="15">
      <c r="A825" s="30"/>
      <c r="B825" s="58" t="s">
        <v>547</v>
      </c>
      <c r="C825" s="23" t="s">
        <v>0</v>
      </c>
      <c r="D825" s="43">
        <v>1.56</v>
      </c>
      <c r="E825" s="13"/>
      <c r="F825" s="43"/>
      <c r="G825" s="30"/>
    </row>
    <row r="826" spans="1:7" ht="15">
      <c r="A826" s="30"/>
      <c r="B826" s="58" t="s">
        <v>548</v>
      </c>
      <c r="C826" s="23" t="s">
        <v>0</v>
      </c>
      <c r="D826" s="43">
        <v>1.56</v>
      </c>
      <c r="E826" s="13"/>
      <c r="F826" s="43"/>
      <c r="G826" s="30"/>
    </row>
    <row r="827" spans="1:7" ht="15">
      <c r="A827" s="29">
        <v>13.023</v>
      </c>
      <c r="B827" s="52" t="s">
        <v>577</v>
      </c>
      <c r="C827" s="23"/>
      <c r="D827" s="43"/>
      <c r="E827" s="13"/>
      <c r="F827" s="43"/>
      <c r="G827" s="30"/>
    </row>
    <row r="828" spans="1:7" ht="15">
      <c r="A828" s="30"/>
      <c r="B828" s="60" t="s">
        <v>561</v>
      </c>
      <c r="C828" s="30"/>
      <c r="D828" s="43"/>
      <c r="E828" s="43"/>
      <c r="F828" s="43"/>
      <c r="G828" s="30"/>
    </row>
    <row r="829" spans="1:7" ht="15">
      <c r="A829" s="30"/>
      <c r="B829" s="53" t="s">
        <v>783</v>
      </c>
      <c r="C829" s="23" t="s">
        <v>784</v>
      </c>
      <c r="D829" s="43">
        <v>6.2</v>
      </c>
      <c r="E829" s="13"/>
      <c r="F829" s="43"/>
      <c r="G829" s="30"/>
    </row>
    <row r="830" spans="1:7" ht="15">
      <c r="A830" s="30"/>
      <c r="B830" s="53" t="s">
        <v>562</v>
      </c>
      <c r="C830" s="23" t="s">
        <v>0</v>
      </c>
      <c r="D830" s="43">
        <v>6.198</v>
      </c>
      <c r="E830" s="13"/>
      <c r="F830" s="43"/>
      <c r="G830" s="30"/>
    </row>
    <row r="831" spans="1:7" ht="15">
      <c r="A831" s="30"/>
      <c r="B831" s="53" t="s">
        <v>563</v>
      </c>
      <c r="C831" s="23" t="s">
        <v>0</v>
      </c>
      <c r="D831" s="43">
        <v>6.198</v>
      </c>
      <c r="E831" s="13"/>
      <c r="F831" s="43"/>
      <c r="G831" s="30"/>
    </row>
    <row r="832" spans="1:7" ht="15">
      <c r="A832" s="30"/>
      <c r="B832" s="60" t="s">
        <v>576</v>
      </c>
      <c r="C832" s="30"/>
      <c r="D832" s="43"/>
      <c r="E832" s="13"/>
      <c r="F832" s="43"/>
      <c r="G832" s="30"/>
    </row>
    <row r="833" spans="1:7" ht="15">
      <c r="A833" s="30"/>
      <c r="B833" s="59" t="s">
        <v>564</v>
      </c>
      <c r="C833" s="23" t="s">
        <v>0</v>
      </c>
      <c r="D833" s="43">
        <v>30.322</v>
      </c>
      <c r="E833" s="13"/>
      <c r="F833" s="43"/>
      <c r="G833" s="30"/>
    </row>
    <row r="834" spans="1:7" ht="15">
      <c r="A834" s="30"/>
      <c r="B834" s="58" t="s">
        <v>565</v>
      </c>
      <c r="C834" s="23" t="s">
        <v>0</v>
      </c>
      <c r="D834" s="43">
        <v>30.724</v>
      </c>
      <c r="E834" s="13"/>
      <c r="F834" s="43"/>
      <c r="G834" s="30"/>
    </row>
    <row r="835" spans="1:8" ht="15">
      <c r="A835" s="30"/>
      <c r="B835" s="58" t="s">
        <v>566</v>
      </c>
      <c r="C835" s="23" t="s">
        <v>0</v>
      </c>
      <c r="D835" s="43">
        <v>3.089</v>
      </c>
      <c r="E835" s="13"/>
      <c r="F835" s="43"/>
      <c r="G835" s="30"/>
      <c r="H835" s="43"/>
    </row>
    <row r="836" spans="1:8" ht="15">
      <c r="A836" s="30"/>
      <c r="B836" s="60" t="s">
        <v>567</v>
      </c>
      <c r="C836" s="30"/>
      <c r="D836" s="43"/>
      <c r="E836" s="43"/>
      <c r="F836" s="43"/>
      <c r="G836" s="30"/>
      <c r="H836" s="43"/>
    </row>
    <row r="837" spans="1:8" ht="15">
      <c r="A837" s="30"/>
      <c r="B837" s="59" t="s">
        <v>568</v>
      </c>
      <c r="C837" s="23" t="s">
        <v>0</v>
      </c>
      <c r="D837" s="43">
        <v>8.23</v>
      </c>
      <c r="E837" s="13"/>
      <c r="F837" s="43"/>
      <c r="G837" s="30"/>
      <c r="H837" s="43"/>
    </row>
    <row r="838" spans="1:7" ht="15">
      <c r="A838" s="30"/>
      <c r="B838" s="58" t="s">
        <v>569</v>
      </c>
      <c r="C838" s="23" t="s">
        <v>0</v>
      </c>
      <c r="D838" s="43">
        <v>8.754</v>
      </c>
      <c r="E838" s="13"/>
      <c r="F838" s="43"/>
      <c r="G838" s="30"/>
    </row>
    <row r="839" spans="1:7" ht="15">
      <c r="A839" s="30"/>
      <c r="B839" s="58" t="s">
        <v>775</v>
      </c>
      <c r="C839" s="23" t="s">
        <v>0</v>
      </c>
      <c r="D839" s="43">
        <v>6.17</v>
      </c>
      <c r="E839" s="13"/>
      <c r="F839" s="43"/>
      <c r="G839" s="30"/>
    </row>
    <row r="840" spans="1:8" ht="15">
      <c r="A840" s="30"/>
      <c r="B840" s="58" t="s">
        <v>570</v>
      </c>
      <c r="C840" s="23" t="s">
        <v>0</v>
      </c>
      <c r="D840" s="43">
        <v>3.01</v>
      </c>
      <c r="E840" s="13"/>
      <c r="F840" s="43"/>
      <c r="G840" s="30"/>
      <c r="H840" s="43"/>
    </row>
    <row r="841" spans="1:8" ht="15">
      <c r="A841" s="30"/>
      <c r="B841" s="52" t="s">
        <v>774</v>
      </c>
      <c r="C841" s="23"/>
      <c r="D841" s="43"/>
      <c r="E841" s="13"/>
      <c r="F841" s="43"/>
      <c r="G841" s="30"/>
      <c r="H841" s="43"/>
    </row>
    <row r="842" spans="1:8" ht="15">
      <c r="A842" s="30"/>
      <c r="B842" s="59" t="s">
        <v>580</v>
      </c>
      <c r="C842" s="23" t="s">
        <v>0</v>
      </c>
      <c r="D842" s="43">
        <v>6.582</v>
      </c>
      <c r="E842" s="13"/>
      <c r="F842" s="43"/>
      <c r="G842" s="30"/>
      <c r="H842" s="43"/>
    </row>
    <row r="843" spans="1:8" ht="15">
      <c r="A843" s="30"/>
      <c r="B843" s="58" t="s">
        <v>578</v>
      </c>
      <c r="C843" s="23" t="s">
        <v>0</v>
      </c>
      <c r="D843" s="43">
        <v>1.392</v>
      </c>
      <c r="E843" s="13"/>
      <c r="F843" s="43"/>
      <c r="G843" s="30"/>
      <c r="H843" s="43"/>
    </row>
    <row r="844" spans="1:8" ht="15">
      <c r="A844" s="30"/>
      <c r="B844" s="58" t="s">
        <v>781</v>
      </c>
      <c r="C844" s="23" t="s">
        <v>0</v>
      </c>
      <c r="D844" s="43">
        <v>1.62</v>
      </c>
      <c r="E844" s="13"/>
      <c r="F844" s="43"/>
      <c r="G844" s="30"/>
      <c r="H844" s="43"/>
    </row>
    <row r="845" spans="1:7" ht="15">
      <c r="A845" s="29"/>
      <c r="B845" s="21" t="s">
        <v>296</v>
      </c>
      <c r="C845" s="30"/>
      <c r="D845" s="43"/>
      <c r="E845" s="43"/>
      <c r="F845" s="43"/>
      <c r="G845" s="30"/>
    </row>
    <row r="846" spans="1:7" ht="15">
      <c r="A846" s="29">
        <v>13.024</v>
      </c>
      <c r="B846" s="30" t="s">
        <v>572</v>
      </c>
      <c r="C846" s="42" t="s">
        <v>10</v>
      </c>
      <c r="D846" s="43">
        <v>385.42</v>
      </c>
      <c r="E846" s="13"/>
      <c r="F846" s="43"/>
      <c r="G846" s="30"/>
    </row>
    <row r="847" spans="1:7" ht="15">
      <c r="A847" s="29">
        <f>+A846+0.001</f>
        <v>13.024999999999999</v>
      </c>
      <c r="B847" s="30" t="s">
        <v>573</v>
      </c>
      <c r="C847" s="42" t="s">
        <v>10</v>
      </c>
      <c r="D847" s="43">
        <v>783.2</v>
      </c>
      <c r="E847" s="13"/>
      <c r="F847" s="43"/>
      <c r="G847" s="30"/>
    </row>
    <row r="848" spans="1:7" ht="15">
      <c r="A848" s="29">
        <f aca="true" t="shared" si="14" ref="A848:A862">+A847+0.001</f>
        <v>13.025999999999998</v>
      </c>
      <c r="B848" s="30" t="s">
        <v>574</v>
      </c>
      <c r="C848" s="42" t="s">
        <v>10</v>
      </c>
      <c r="D848" s="43">
        <v>15.43</v>
      </c>
      <c r="E848" s="13"/>
      <c r="F848" s="43"/>
      <c r="G848" s="30"/>
    </row>
    <row r="849" spans="1:7" ht="15">
      <c r="A849" s="29">
        <f t="shared" si="14"/>
        <v>13.026999999999997</v>
      </c>
      <c r="B849" s="30" t="s">
        <v>575</v>
      </c>
      <c r="C849" s="42" t="s">
        <v>10</v>
      </c>
      <c r="D849" s="43">
        <v>2.1</v>
      </c>
      <c r="E849" s="13"/>
      <c r="F849" s="43"/>
      <c r="G849" s="30"/>
    </row>
    <row r="850" spans="1:7" ht="15">
      <c r="A850" s="29"/>
      <c r="B850" s="21" t="s">
        <v>292</v>
      </c>
      <c r="C850" s="48"/>
      <c r="D850" s="49"/>
      <c r="E850" s="50"/>
      <c r="F850" s="50"/>
      <c r="G850" s="14"/>
    </row>
    <row r="851" spans="1:7" ht="15">
      <c r="A851" s="29">
        <v>13.028</v>
      </c>
      <c r="B851" s="47" t="s">
        <v>262</v>
      </c>
      <c r="C851" s="48" t="s">
        <v>10</v>
      </c>
      <c r="D851" s="49">
        <v>1444.83</v>
      </c>
      <c r="E851" s="50"/>
      <c r="F851" s="50"/>
      <c r="G851" s="14"/>
    </row>
    <row r="852" spans="1:7" ht="15">
      <c r="A852" s="29">
        <f t="shared" si="14"/>
        <v>13.029</v>
      </c>
      <c r="B852" s="47" t="s">
        <v>293</v>
      </c>
      <c r="C852" s="48" t="s">
        <v>10</v>
      </c>
      <c r="D852" s="49">
        <f>+D851</f>
        <v>1444.83</v>
      </c>
      <c r="E852" s="50"/>
      <c r="F852" s="50"/>
      <c r="G852" s="14"/>
    </row>
    <row r="853" spans="1:7" ht="15">
      <c r="A853" s="29">
        <f t="shared" si="14"/>
        <v>13.03</v>
      </c>
      <c r="B853" s="47" t="s">
        <v>581</v>
      </c>
      <c r="C853" s="48" t="s">
        <v>10</v>
      </c>
      <c r="D853" s="49">
        <v>1730</v>
      </c>
      <c r="E853" s="50"/>
      <c r="F853" s="50"/>
      <c r="G853" s="14"/>
    </row>
    <row r="854" spans="1:7" ht="15">
      <c r="A854" s="29">
        <f t="shared" si="14"/>
        <v>13.030999999999999</v>
      </c>
      <c r="B854" s="51" t="s">
        <v>309</v>
      </c>
      <c r="C854" s="48" t="s">
        <v>11</v>
      </c>
      <c r="D854" s="49">
        <v>1235.22</v>
      </c>
      <c r="E854" s="50"/>
      <c r="F854" s="50"/>
      <c r="G854" s="14"/>
    </row>
    <row r="855" spans="1:7" ht="15">
      <c r="A855" s="29">
        <f t="shared" si="14"/>
        <v>13.031999999999998</v>
      </c>
      <c r="B855" s="47" t="s">
        <v>294</v>
      </c>
      <c r="C855" s="48" t="s">
        <v>10</v>
      </c>
      <c r="D855" s="49">
        <v>515.55</v>
      </c>
      <c r="E855" s="50"/>
      <c r="F855" s="50"/>
      <c r="G855" s="14"/>
    </row>
    <row r="856" spans="1:7" ht="15">
      <c r="A856" s="29">
        <f>+A855+0.001</f>
        <v>13.032999999999998</v>
      </c>
      <c r="B856" s="47" t="s">
        <v>299</v>
      </c>
      <c r="C856" s="48" t="s">
        <v>10</v>
      </c>
      <c r="D856" s="49">
        <f>913.6*0.2</f>
        <v>182.72000000000003</v>
      </c>
      <c r="E856" s="50"/>
      <c r="F856" s="50"/>
      <c r="G856" s="14"/>
    </row>
    <row r="857" spans="1:7" ht="15">
      <c r="A857" s="29">
        <f aca="true" t="shared" si="15" ref="A857:A906">+A856+0.001</f>
        <v>13.033999999999997</v>
      </c>
      <c r="B857" s="47" t="s">
        <v>582</v>
      </c>
      <c r="C857" s="48" t="s">
        <v>11</v>
      </c>
      <c r="D857" s="49">
        <v>2395.88</v>
      </c>
      <c r="E857" s="50"/>
      <c r="F857" s="50"/>
      <c r="G857" s="14"/>
    </row>
    <row r="858" spans="1:7" ht="15">
      <c r="A858" s="29">
        <f t="shared" si="14"/>
        <v>13.034999999999997</v>
      </c>
      <c r="B858" s="47" t="s">
        <v>776</v>
      </c>
      <c r="C858" s="48" t="s">
        <v>10</v>
      </c>
      <c r="D858" s="49">
        <v>547.18</v>
      </c>
      <c r="E858" s="50"/>
      <c r="F858" s="50"/>
      <c r="G858" s="14"/>
    </row>
    <row r="859" spans="1:7" ht="15">
      <c r="A859" s="29">
        <f t="shared" si="15"/>
        <v>13.035999999999996</v>
      </c>
      <c r="B859" s="47" t="s">
        <v>777</v>
      </c>
      <c r="C859" s="48" t="s">
        <v>10</v>
      </c>
      <c r="D859" s="49">
        <v>595.22</v>
      </c>
      <c r="E859" s="50"/>
      <c r="F859" s="50"/>
      <c r="G859" s="14"/>
    </row>
    <row r="860" spans="1:7" ht="15">
      <c r="A860" s="29">
        <f t="shared" si="14"/>
        <v>13.036999999999995</v>
      </c>
      <c r="B860" s="47" t="s">
        <v>778</v>
      </c>
      <c r="C860" s="48" t="s">
        <v>11</v>
      </c>
      <c r="D860" s="49">
        <v>132.9</v>
      </c>
      <c r="E860" s="50"/>
      <c r="F860" s="50"/>
      <c r="G860" s="14"/>
    </row>
    <row r="861" spans="1:7" ht="15">
      <c r="A861" s="29">
        <f t="shared" si="15"/>
        <v>13.037999999999995</v>
      </c>
      <c r="B861" s="47" t="s">
        <v>779</v>
      </c>
      <c r="C861" s="48" t="s">
        <v>10</v>
      </c>
      <c r="D861" s="49">
        <v>84.3</v>
      </c>
      <c r="E861" s="50"/>
      <c r="F861" s="50"/>
      <c r="G861" s="14"/>
    </row>
    <row r="862" spans="1:7" ht="15">
      <c r="A862" s="29">
        <f t="shared" si="14"/>
        <v>13.038999999999994</v>
      </c>
      <c r="B862" s="47" t="s">
        <v>780</v>
      </c>
      <c r="C862" s="48" t="s">
        <v>11</v>
      </c>
      <c r="D862" s="49">
        <f>3.4*6</f>
        <v>20.4</v>
      </c>
      <c r="E862" s="50"/>
      <c r="F862" s="50"/>
      <c r="G862" s="14"/>
    </row>
    <row r="863" spans="1:7" ht="15">
      <c r="A863" s="29"/>
      <c r="B863" s="21" t="s">
        <v>316</v>
      </c>
      <c r="C863" s="48"/>
      <c r="D863" s="49"/>
      <c r="E863" s="50"/>
      <c r="F863" s="50"/>
      <c r="G863" s="14"/>
    </row>
    <row r="864" spans="1:7" ht="15">
      <c r="A864" s="29">
        <v>13.035</v>
      </c>
      <c r="B864" s="47" t="s">
        <v>317</v>
      </c>
      <c r="C864" s="48" t="s">
        <v>10</v>
      </c>
      <c r="D864" s="49">
        <v>734.7</v>
      </c>
      <c r="E864" s="50"/>
      <c r="F864" s="50"/>
      <c r="G864" s="14"/>
    </row>
    <row r="865" spans="1:7" ht="15">
      <c r="A865" s="29">
        <f t="shared" si="15"/>
        <v>13.036</v>
      </c>
      <c r="B865" s="47" t="s">
        <v>359</v>
      </c>
      <c r="C865" s="48" t="s">
        <v>11</v>
      </c>
      <c r="D865" s="49">
        <v>725</v>
      </c>
      <c r="E865" s="50"/>
      <c r="F865" s="50"/>
      <c r="G865" s="14"/>
    </row>
    <row r="866" spans="1:7" ht="15">
      <c r="A866" s="29">
        <f t="shared" si="15"/>
        <v>13.036999999999999</v>
      </c>
      <c r="B866" s="47" t="s">
        <v>358</v>
      </c>
      <c r="C866" s="48" t="s">
        <v>11</v>
      </c>
      <c r="D866" s="49">
        <v>529.8</v>
      </c>
      <c r="E866" s="50"/>
      <c r="F866" s="50"/>
      <c r="G866" s="14"/>
    </row>
    <row r="867" spans="1:7" ht="15">
      <c r="A867" s="29">
        <f t="shared" si="15"/>
        <v>13.037999999999998</v>
      </c>
      <c r="B867" s="47" t="s">
        <v>320</v>
      </c>
      <c r="C867" s="48" t="s">
        <v>11</v>
      </c>
      <c r="D867" s="49">
        <f>63*4</f>
        <v>252</v>
      </c>
      <c r="E867" s="50"/>
      <c r="F867" s="50"/>
      <c r="G867" s="14"/>
    </row>
    <row r="868" spans="1:7" ht="15">
      <c r="A868" s="29">
        <f t="shared" si="15"/>
        <v>13.038999999999998</v>
      </c>
      <c r="B868" s="47" t="s">
        <v>318</v>
      </c>
      <c r="C868" s="48" t="s">
        <v>12</v>
      </c>
      <c r="D868" s="49">
        <v>1</v>
      </c>
      <c r="E868" s="50"/>
      <c r="F868" s="50"/>
      <c r="G868" s="14"/>
    </row>
    <row r="869" spans="1:7" ht="15">
      <c r="A869" s="29"/>
      <c r="B869" s="21" t="s">
        <v>322</v>
      </c>
      <c r="C869" s="48"/>
      <c r="D869" s="49"/>
      <c r="E869" s="50"/>
      <c r="F869" s="50"/>
      <c r="G869" s="14"/>
    </row>
    <row r="870" spans="1:7" ht="15">
      <c r="A870" s="29">
        <v>13.04</v>
      </c>
      <c r="B870" s="62" t="s">
        <v>601</v>
      </c>
      <c r="C870" s="48"/>
      <c r="D870" s="49"/>
      <c r="E870" s="50"/>
      <c r="F870" s="50"/>
      <c r="G870" s="14"/>
    </row>
    <row r="871" spans="1:7" ht="15">
      <c r="A871" s="29"/>
      <c r="B871" s="47" t="s">
        <v>325</v>
      </c>
      <c r="C871" s="48" t="s">
        <v>10</v>
      </c>
      <c r="D871" s="49">
        <v>1391.98</v>
      </c>
      <c r="E871" s="50"/>
      <c r="F871" s="50"/>
      <c r="G871" s="14"/>
    </row>
    <row r="872" spans="1:7" ht="15">
      <c r="A872" s="29"/>
      <c r="B872" s="47" t="s">
        <v>323</v>
      </c>
      <c r="C872" s="48" t="s">
        <v>11</v>
      </c>
      <c r="D872" s="49">
        <f>61*25+(25*61)</f>
        <v>3050</v>
      </c>
      <c r="E872" s="50"/>
      <c r="F872" s="50"/>
      <c r="G872" s="14"/>
    </row>
    <row r="873" spans="1:7" ht="15">
      <c r="A873" s="29"/>
      <c r="B873" s="47" t="s">
        <v>326</v>
      </c>
      <c r="C873" s="48" t="s">
        <v>10</v>
      </c>
      <c r="D873" s="49">
        <f>+D871</f>
        <v>1391.98</v>
      </c>
      <c r="E873" s="50"/>
      <c r="F873" s="50"/>
      <c r="G873" s="14"/>
    </row>
    <row r="874" spans="1:7" ht="15">
      <c r="A874" s="29"/>
      <c r="B874" s="47" t="s">
        <v>324</v>
      </c>
      <c r="C874" s="48" t="s">
        <v>11</v>
      </c>
      <c r="D874" s="49">
        <f>+D871*0.76254</f>
        <v>1061.4404292</v>
      </c>
      <c r="E874" s="50"/>
      <c r="F874" s="50"/>
      <c r="G874" s="14"/>
    </row>
    <row r="875" spans="1:7" ht="15">
      <c r="A875" s="29">
        <v>13.041</v>
      </c>
      <c r="B875" s="62" t="s">
        <v>602</v>
      </c>
      <c r="C875" s="48"/>
      <c r="D875" s="49"/>
      <c r="E875" s="50"/>
      <c r="F875" s="50"/>
      <c r="G875" s="14"/>
    </row>
    <row r="876" spans="1:7" ht="15">
      <c r="A876" s="29"/>
      <c r="B876" s="47" t="s">
        <v>325</v>
      </c>
      <c r="C876" s="48" t="s">
        <v>10</v>
      </c>
      <c r="D876" s="49">
        <v>1089.88</v>
      </c>
      <c r="E876" s="50"/>
      <c r="F876" s="50"/>
      <c r="G876" s="14"/>
    </row>
    <row r="877" spans="1:7" ht="15">
      <c r="A877" s="29"/>
      <c r="B877" s="47" t="s">
        <v>323</v>
      </c>
      <c r="C877" s="48" t="s">
        <v>11</v>
      </c>
      <c r="D877" s="49">
        <f>61*18+(25*45)</f>
        <v>2223</v>
      </c>
      <c r="E877" s="50"/>
      <c r="F877" s="50"/>
      <c r="G877" s="14"/>
    </row>
    <row r="878" spans="1:7" ht="15">
      <c r="A878" s="29"/>
      <c r="B878" s="47" t="s">
        <v>326</v>
      </c>
      <c r="C878" s="48" t="s">
        <v>10</v>
      </c>
      <c r="D878" s="49">
        <f>+D876</f>
        <v>1089.88</v>
      </c>
      <c r="E878" s="50"/>
      <c r="F878" s="50"/>
      <c r="G878" s="14"/>
    </row>
    <row r="879" spans="1:7" ht="15">
      <c r="A879" s="29"/>
      <c r="B879" s="47" t="s">
        <v>324</v>
      </c>
      <c r="C879" s="48" t="s">
        <v>11</v>
      </c>
      <c r="D879" s="49">
        <f>+D876*0.76254</f>
        <v>831.0770952</v>
      </c>
      <c r="E879" s="50"/>
      <c r="F879" s="50"/>
      <c r="G879" s="14"/>
    </row>
    <row r="880" spans="1:7" ht="15">
      <c r="A880" s="29"/>
      <c r="B880" s="21" t="s">
        <v>363</v>
      </c>
      <c r="C880" s="48"/>
      <c r="D880" s="49"/>
      <c r="E880" s="50"/>
      <c r="F880" s="50"/>
      <c r="G880" s="14"/>
    </row>
    <row r="881" spans="1:7" ht="15">
      <c r="A881" s="29">
        <v>13.042</v>
      </c>
      <c r="B881" s="47" t="s">
        <v>600</v>
      </c>
      <c r="C881" s="48" t="s">
        <v>11</v>
      </c>
      <c r="D881" s="49">
        <f>7*4*4*1.1</f>
        <v>123.20000000000002</v>
      </c>
      <c r="E881" s="50"/>
      <c r="F881" s="50"/>
      <c r="G881" s="14"/>
    </row>
    <row r="882" spans="1:7" ht="15">
      <c r="A882" s="29">
        <f t="shared" si="15"/>
        <v>13.043</v>
      </c>
      <c r="B882" s="47" t="s">
        <v>380</v>
      </c>
      <c r="C882" s="48" t="s">
        <v>11</v>
      </c>
      <c r="D882" s="49">
        <f>7*4*4</f>
        <v>112</v>
      </c>
      <c r="E882" s="50"/>
      <c r="F882" s="50"/>
      <c r="G882" s="14"/>
    </row>
    <row r="883" spans="1:7" ht="15">
      <c r="A883" s="29">
        <f t="shared" si="15"/>
        <v>13.043999999999999</v>
      </c>
      <c r="B883" s="47" t="s">
        <v>381</v>
      </c>
      <c r="C883" s="48" t="s">
        <v>11</v>
      </c>
      <c r="D883" s="49">
        <f>7*2*4</f>
        <v>56</v>
      </c>
      <c r="E883" s="50"/>
      <c r="F883" s="50"/>
      <c r="G883" s="14"/>
    </row>
    <row r="884" spans="1:7" ht="15">
      <c r="A884" s="29">
        <f t="shared" si="15"/>
        <v>13.044999999999998</v>
      </c>
      <c r="B884" s="47" t="s">
        <v>595</v>
      </c>
      <c r="C884" s="48" t="s">
        <v>11</v>
      </c>
      <c r="D884" s="49">
        <f>7.3*2</f>
        <v>14.6</v>
      </c>
      <c r="E884" s="50"/>
      <c r="F884" s="50"/>
      <c r="G884" s="14"/>
    </row>
    <row r="885" spans="1:7" ht="25.5">
      <c r="A885" s="29">
        <f t="shared" si="15"/>
        <v>13.045999999999998</v>
      </c>
      <c r="B885" s="47" t="s">
        <v>590</v>
      </c>
      <c r="C885" s="48" t="s">
        <v>589</v>
      </c>
      <c r="D885" s="49">
        <f>3*8</f>
        <v>24</v>
      </c>
      <c r="E885" s="50"/>
      <c r="F885" s="50"/>
      <c r="G885" s="14"/>
    </row>
    <row r="886" spans="1:7" ht="15">
      <c r="A886" s="29">
        <f t="shared" si="15"/>
        <v>13.046999999999997</v>
      </c>
      <c r="B886" s="47" t="s">
        <v>592</v>
      </c>
      <c r="C886" s="48" t="s">
        <v>364</v>
      </c>
      <c r="D886" s="49">
        <f>3.45*8*3.28</f>
        <v>90.528</v>
      </c>
      <c r="E886" s="50"/>
      <c r="F886" s="50"/>
      <c r="G886" s="14"/>
    </row>
    <row r="887" spans="1:7" ht="25.5">
      <c r="A887" s="29">
        <f t="shared" si="15"/>
        <v>13.047999999999996</v>
      </c>
      <c r="B887" s="47" t="s">
        <v>371</v>
      </c>
      <c r="C887" s="48" t="s">
        <v>27</v>
      </c>
      <c r="D887" s="49">
        <f>4*2*4</f>
        <v>32</v>
      </c>
      <c r="E887" s="50"/>
      <c r="F887" s="50"/>
      <c r="G887" s="14"/>
    </row>
    <row r="888" spans="1:7" ht="15">
      <c r="A888" s="29">
        <f>+A887+0.001</f>
        <v>13.048999999999996</v>
      </c>
      <c r="B888" s="47" t="s">
        <v>367</v>
      </c>
      <c r="C888" s="48" t="s">
        <v>27</v>
      </c>
      <c r="D888" s="49">
        <f>+D887</f>
        <v>32</v>
      </c>
      <c r="E888" s="50"/>
      <c r="F888" s="50"/>
      <c r="G888" s="14"/>
    </row>
    <row r="889" spans="1:7" ht="25.5">
      <c r="A889" s="29">
        <f t="shared" si="15"/>
        <v>13.049999999999995</v>
      </c>
      <c r="B889" s="47" t="s">
        <v>366</v>
      </c>
      <c r="C889" s="48" t="s">
        <v>27</v>
      </c>
      <c r="D889" s="49">
        <f>+D888</f>
        <v>32</v>
      </c>
      <c r="E889" s="50"/>
      <c r="F889" s="50"/>
      <c r="G889" s="14"/>
    </row>
    <row r="890" spans="1:7" ht="25.5">
      <c r="A890" s="29">
        <f t="shared" si="15"/>
        <v>13.050999999999995</v>
      </c>
      <c r="B890" s="47" t="s">
        <v>372</v>
      </c>
      <c r="C890" s="48" t="s">
        <v>27</v>
      </c>
      <c r="D890" s="49">
        <f>9*4</f>
        <v>36</v>
      </c>
      <c r="E890" s="50"/>
      <c r="F890" s="50"/>
      <c r="G890" s="14"/>
    </row>
    <row r="891" spans="1:7" ht="15">
      <c r="A891" s="29">
        <f t="shared" si="15"/>
        <v>13.051999999999994</v>
      </c>
      <c r="B891" s="47" t="s">
        <v>365</v>
      </c>
      <c r="C891" s="48" t="s">
        <v>27</v>
      </c>
      <c r="D891" s="49">
        <f>+D890</f>
        <v>36</v>
      </c>
      <c r="E891" s="50"/>
      <c r="F891" s="50"/>
      <c r="G891" s="14"/>
    </row>
    <row r="892" spans="1:7" ht="15">
      <c r="A892" s="29">
        <f t="shared" si="15"/>
        <v>13.052999999999994</v>
      </c>
      <c r="B892" s="47" t="s">
        <v>374</v>
      </c>
      <c r="C892" s="48" t="s">
        <v>27</v>
      </c>
      <c r="D892" s="49">
        <f>4*4</f>
        <v>16</v>
      </c>
      <c r="E892" s="50"/>
      <c r="F892" s="50"/>
      <c r="G892" s="14"/>
    </row>
    <row r="893" spans="1:7" ht="15">
      <c r="A893" s="29">
        <f t="shared" si="15"/>
        <v>13.053999999999993</v>
      </c>
      <c r="B893" s="47" t="s">
        <v>591</v>
      </c>
      <c r="C893" s="48" t="s">
        <v>27</v>
      </c>
      <c r="D893" s="49">
        <f>3*4</f>
        <v>12</v>
      </c>
      <c r="E893" s="50"/>
      <c r="F893" s="50"/>
      <c r="G893" s="14"/>
    </row>
    <row r="894" spans="1:7" ht="15">
      <c r="A894" s="29">
        <f t="shared" si="15"/>
        <v>13.054999999999993</v>
      </c>
      <c r="B894" s="47" t="s">
        <v>376</v>
      </c>
      <c r="C894" s="48" t="s">
        <v>27</v>
      </c>
      <c r="D894" s="49">
        <f>5*4</f>
        <v>20</v>
      </c>
      <c r="E894" s="50"/>
      <c r="F894" s="50"/>
      <c r="G894" s="14"/>
    </row>
    <row r="895" spans="1:7" ht="15">
      <c r="A895" s="29">
        <f t="shared" si="15"/>
        <v>13.055999999999992</v>
      </c>
      <c r="B895" s="47" t="s">
        <v>377</v>
      </c>
      <c r="C895" s="48" t="s">
        <v>27</v>
      </c>
      <c r="D895" s="49">
        <f>8*4</f>
        <v>32</v>
      </c>
      <c r="E895" s="50"/>
      <c r="F895" s="50"/>
      <c r="G895" s="14"/>
    </row>
    <row r="896" spans="1:7" ht="15">
      <c r="A896" s="29">
        <f t="shared" si="15"/>
        <v>13.056999999999992</v>
      </c>
      <c r="B896" s="47" t="s">
        <v>383</v>
      </c>
      <c r="C896" s="48" t="s">
        <v>13</v>
      </c>
      <c r="D896" s="49">
        <v>4</v>
      </c>
      <c r="E896" s="50"/>
      <c r="F896" s="50"/>
      <c r="G896" s="14"/>
    </row>
    <row r="897" spans="1:7" ht="15">
      <c r="A897" s="29">
        <f t="shared" si="15"/>
        <v>13.057999999999991</v>
      </c>
      <c r="B897" s="47" t="s">
        <v>593</v>
      </c>
      <c r="C897" s="48" t="s">
        <v>13</v>
      </c>
      <c r="D897" s="49">
        <v>4</v>
      </c>
      <c r="E897" s="50"/>
      <c r="F897" s="50"/>
      <c r="G897" s="14"/>
    </row>
    <row r="898" spans="1:7" ht="15">
      <c r="A898" s="29">
        <f t="shared" si="15"/>
        <v>13.05899999999999</v>
      </c>
      <c r="B898" s="47" t="s">
        <v>594</v>
      </c>
      <c r="C898" s="48" t="s">
        <v>13</v>
      </c>
      <c r="D898" s="49">
        <v>4</v>
      </c>
      <c r="E898" s="50"/>
      <c r="F898" s="50"/>
      <c r="G898" s="14"/>
    </row>
    <row r="899" spans="1:7" ht="15">
      <c r="A899" s="29">
        <f t="shared" si="15"/>
        <v>13.05999999999999</v>
      </c>
      <c r="B899" s="47" t="s">
        <v>596</v>
      </c>
      <c r="C899" s="48" t="s">
        <v>13</v>
      </c>
      <c r="D899" s="49">
        <f>3*4</f>
        <v>12</v>
      </c>
      <c r="E899" s="50"/>
      <c r="F899" s="50"/>
      <c r="G899" s="14"/>
    </row>
    <row r="900" spans="1:7" ht="15">
      <c r="A900" s="29"/>
      <c r="B900" s="21" t="s">
        <v>327</v>
      </c>
      <c r="C900" s="48"/>
      <c r="D900" s="49"/>
      <c r="E900" s="50"/>
      <c r="F900" s="50"/>
      <c r="G900" s="14"/>
    </row>
    <row r="901" spans="1:7" ht="15">
      <c r="A901" s="29">
        <v>13.061</v>
      </c>
      <c r="B901" s="47" t="s">
        <v>597</v>
      </c>
      <c r="C901" s="48" t="s">
        <v>13</v>
      </c>
      <c r="D901" s="49">
        <f>17+14</f>
        <v>31</v>
      </c>
      <c r="E901" s="50"/>
      <c r="F901" s="50"/>
      <c r="G901" s="14"/>
    </row>
    <row r="902" spans="1:7" ht="15">
      <c r="A902" s="29">
        <f t="shared" si="15"/>
        <v>13.062</v>
      </c>
      <c r="B902" s="47" t="s">
        <v>332</v>
      </c>
      <c r="C902" s="48" t="s">
        <v>13</v>
      </c>
      <c r="D902" s="49">
        <v>8</v>
      </c>
      <c r="E902" s="50"/>
      <c r="F902" s="50"/>
      <c r="G902" s="14"/>
    </row>
    <row r="903" spans="1:7" ht="15">
      <c r="A903" s="29">
        <f t="shared" si="15"/>
        <v>13.062999999999999</v>
      </c>
      <c r="B903" s="47" t="s">
        <v>401</v>
      </c>
      <c r="C903" s="48" t="s">
        <v>13</v>
      </c>
      <c r="D903" s="49">
        <v>4</v>
      </c>
      <c r="E903" s="50"/>
      <c r="F903" s="50"/>
      <c r="G903" s="14"/>
    </row>
    <row r="904" spans="1:7" ht="15">
      <c r="A904" s="29">
        <f t="shared" si="15"/>
        <v>13.063999999999998</v>
      </c>
      <c r="B904" s="47" t="s">
        <v>611</v>
      </c>
      <c r="C904" s="48" t="s">
        <v>13</v>
      </c>
      <c r="D904" s="49">
        <v>8</v>
      </c>
      <c r="E904" s="50"/>
      <c r="F904" s="50"/>
      <c r="G904" s="14"/>
    </row>
    <row r="905" spans="1:7" ht="15">
      <c r="A905" s="29">
        <f t="shared" si="15"/>
        <v>13.064999999999998</v>
      </c>
      <c r="B905" s="47" t="s">
        <v>617</v>
      </c>
      <c r="C905" s="48" t="s">
        <v>13</v>
      </c>
      <c r="D905" s="49">
        <v>4</v>
      </c>
      <c r="E905" s="50"/>
      <c r="F905" s="50"/>
      <c r="G905" s="14"/>
    </row>
    <row r="906" spans="1:7" ht="15">
      <c r="A906" s="29">
        <f t="shared" si="15"/>
        <v>13.065999999999997</v>
      </c>
      <c r="B906" s="47" t="s">
        <v>329</v>
      </c>
      <c r="C906" s="48" t="s">
        <v>13</v>
      </c>
      <c r="D906" s="49">
        <f>+D901</f>
        <v>31</v>
      </c>
      <c r="E906" s="50"/>
      <c r="F906" s="50"/>
      <c r="G906" s="14"/>
    </row>
    <row r="907" spans="1:7" ht="15">
      <c r="A907" s="29">
        <f aca="true" t="shared" si="16" ref="A907:A914">+A906+0.001</f>
        <v>13.066999999999997</v>
      </c>
      <c r="B907" s="47" t="s">
        <v>334</v>
      </c>
      <c r="C907" s="48" t="s">
        <v>159</v>
      </c>
      <c r="D907" s="49">
        <f>439.74*10.76</f>
        <v>4731.6024</v>
      </c>
      <c r="E907" s="50"/>
      <c r="F907" s="50"/>
      <c r="G907" s="14"/>
    </row>
    <row r="908" spans="1:7" ht="15">
      <c r="A908" s="29"/>
      <c r="B908" s="21" t="s">
        <v>603</v>
      </c>
      <c r="C908" s="48"/>
      <c r="D908" s="49"/>
      <c r="E908" s="50"/>
      <c r="F908" s="50"/>
      <c r="G908" s="14"/>
    </row>
    <row r="909" spans="1:7" ht="15">
      <c r="A909" s="29">
        <v>13.066</v>
      </c>
      <c r="B909" s="47" t="s">
        <v>584</v>
      </c>
      <c r="C909" s="48" t="s">
        <v>11</v>
      </c>
      <c r="D909" s="49">
        <v>234.1</v>
      </c>
      <c r="E909" s="50"/>
      <c r="F909" s="50"/>
      <c r="G909" s="14"/>
    </row>
    <row r="910" spans="1:7" ht="15">
      <c r="A910" s="29"/>
      <c r="B910" s="21" t="s">
        <v>583</v>
      </c>
      <c r="C910" s="48"/>
      <c r="D910" s="49"/>
      <c r="E910" s="50"/>
      <c r="F910" s="50"/>
      <c r="G910" s="14"/>
    </row>
    <row r="911" spans="1:7" ht="15">
      <c r="A911" s="29">
        <v>13.067</v>
      </c>
      <c r="B911" s="47" t="s">
        <v>585</v>
      </c>
      <c r="C911" s="48" t="s">
        <v>11</v>
      </c>
      <c r="D911" s="49">
        <v>80</v>
      </c>
      <c r="E911" s="50"/>
      <c r="F911" s="50"/>
      <c r="G911" s="14"/>
    </row>
    <row r="912" spans="1:7" ht="15">
      <c r="A912" s="29">
        <f t="shared" si="16"/>
        <v>13.068</v>
      </c>
      <c r="B912" s="47" t="s">
        <v>586</v>
      </c>
      <c r="C912" s="48" t="s">
        <v>11</v>
      </c>
      <c r="D912" s="49">
        <f>16*3.5</f>
        <v>56</v>
      </c>
      <c r="E912" s="50"/>
      <c r="F912" s="50"/>
      <c r="G912" s="14"/>
    </row>
    <row r="913" spans="1:7" ht="15">
      <c r="A913" s="29">
        <f t="shared" si="16"/>
        <v>13.068999999999999</v>
      </c>
      <c r="B913" s="47" t="s">
        <v>587</v>
      </c>
      <c r="C913" s="48" t="s">
        <v>10</v>
      </c>
      <c r="D913" s="49">
        <f>3.75*2.04*4</f>
        <v>30.6</v>
      </c>
      <c r="E913" s="50"/>
      <c r="F913" s="50"/>
      <c r="G913" s="14"/>
    </row>
    <row r="914" spans="1:7" ht="15">
      <c r="A914" s="29">
        <f t="shared" si="16"/>
        <v>13.069999999999999</v>
      </c>
      <c r="B914" s="47" t="s">
        <v>588</v>
      </c>
      <c r="C914" s="48" t="s">
        <v>11</v>
      </c>
      <c r="D914" s="49">
        <f>6.5*4</f>
        <v>26</v>
      </c>
      <c r="E914" s="50"/>
      <c r="F914" s="50"/>
      <c r="G914" s="14"/>
    </row>
    <row r="915" spans="1:7" ht="15">
      <c r="A915" s="29"/>
      <c r="B915" s="21" t="s">
        <v>339</v>
      </c>
      <c r="C915" s="48"/>
      <c r="D915" s="49"/>
      <c r="E915" s="50"/>
      <c r="F915" s="50"/>
      <c r="G915" s="14"/>
    </row>
    <row r="916" spans="1:7" ht="15">
      <c r="A916" s="29">
        <v>13.071</v>
      </c>
      <c r="B916" s="47" t="s">
        <v>342</v>
      </c>
      <c r="C916" s="48" t="s">
        <v>10</v>
      </c>
      <c r="D916" s="49">
        <v>2822.64</v>
      </c>
      <c r="E916" s="50"/>
      <c r="F916" s="50"/>
      <c r="G916" s="14"/>
    </row>
    <row r="917" spans="1:7" ht="15">
      <c r="A917" s="29">
        <f>+A916+0.001</f>
        <v>13.072</v>
      </c>
      <c r="B917" s="47" t="s">
        <v>340</v>
      </c>
      <c r="C917" s="48" t="s">
        <v>10</v>
      </c>
      <c r="D917" s="49">
        <f>+D916*0.586</f>
        <v>1654.06704</v>
      </c>
      <c r="E917" s="50"/>
      <c r="F917" s="50"/>
      <c r="G917" s="14"/>
    </row>
    <row r="918" spans="1:7" ht="15">
      <c r="A918" s="29">
        <f>+A917+0.001</f>
        <v>13.072999999999999</v>
      </c>
      <c r="B918" s="47" t="s">
        <v>341</v>
      </c>
      <c r="C918" s="48" t="s">
        <v>10</v>
      </c>
      <c r="D918" s="49">
        <f>+D916*0.412</f>
        <v>1162.9276799999998</v>
      </c>
      <c r="E918" s="50"/>
      <c r="F918" s="50"/>
      <c r="G918" s="14"/>
    </row>
    <row r="919" spans="1:7" ht="15.75" thickBot="1">
      <c r="A919" s="29"/>
      <c r="B919" s="47"/>
      <c r="C919" s="48"/>
      <c r="D919" s="49"/>
      <c r="E919" s="50"/>
      <c r="F919" s="50"/>
      <c r="G919" s="14"/>
    </row>
    <row r="920" spans="1:7" ht="15.75" thickBot="1">
      <c r="A920" s="29"/>
      <c r="B920" s="6"/>
      <c r="C920" s="23"/>
      <c r="D920" s="10"/>
      <c r="E920" s="71" t="str">
        <f>+B647</f>
        <v>MODULO DE AULAS </v>
      </c>
      <c r="F920" s="72"/>
      <c r="G920" s="16">
        <f>SUM(F647:F918)</f>
        <v>0</v>
      </c>
    </row>
    <row r="921" ht="15.75" thickBot="1">
      <c r="A921" s="29"/>
    </row>
    <row r="922" spans="1:7" ht="16.5" thickBot="1">
      <c r="A922" s="28">
        <v>14</v>
      </c>
      <c r="B922" s="61" t="s">
        <v>604</v>
      </c>
      <c r="C922" s="23"/>
      <c r="D922" s="10"/>
      <c r="E922" s="13"/>
      <c r="F922" s="13"/>
      <c r="G922" s="14"/>
    </row>
    <row r="923" spans="1:7" ht="15">
      <c r="A923" s="29">
        <f>+A922+0.001</f>
        <v>14.001</v>
      </c>
      <c r="B923" s="6" t="s">
        <v>397</v>
      </c>
      <c r="C923" s="23" t="s">
        <v>10</v>
      </c>
      <c r="D923" s="10">
        <v>228</v>
      </c>
      <c r="E923" s="13"/>
      <c r="F923" s="13"/>
      <c r="G923" s="14"/>
    </row>
    <row r="924" spans="1:7" ht="15">
      <c r="A924" s="29"/>
      <c r="B924" s="21" t="s">
        <v>265</v>
      </c>
      <c r="C924" s="23"/>
      <c r="D924" s="10"/>
      <c r="E924" s="13"/>
      <c r="F924" s="13"/>
      <c r="G924" s="14"/>
    </row>
    <row r="925" spans="1:7" ht="15">
      <c r="A925" s="29">
        <v>14.002</v>
      </c>
      <c r="B925" s="6" t="s">
        <v>605</v>
      </c>
      <c r="C925" s="23" t="s">
        <v>15</v>
      </c>
      <c r="D925" s="10">
        <v>99.27</v>
      </c>
      <c r="E925" s="13"/>
      <c r="F925" s="13"/>
      <c r="G925" s="14"/>
    </row>
    <row r="926" spans="1:7" ht="15">
      <c r="A926" s="29"/>
      <c r="B926" s="21" t="s">
        <v>271</v>
      </c>
      <c r="C926" s="23"/>
      <c r="D926" s="10"/>
      <c r="E926" s="13"/>
      <c r="F926" s="13"/>
      <c r="G926" s="14"/>
    </row>
    <row r="927" spans="1:7" ht="15">
      <c r="A927" s="29">
        <v>14.003</v>
      </c>
      <c r="B927" s="6" t="s">
        <v>429</v>
      </c>
      <c r="C927" s="23" t="s">
        <v>0</v>
      </c>
      <c r="D927" s="10">
        <v>43.27</v>
      </c>
      <c r="E927" s="13"/>
      <c r="F927" s="13"/>
      <c r="G927" s="14"/>
    </row>
    <row r="928" spans="1:7" ht="15">
      <c r="A928" s="29">
        <f aca="true" t="shared" si="17" ref="A928:A988">+A927+0.001</f>
        <v>14.004</v>
      </c>
      <c r="B928" s="6" t="s">
        <v>606</v>
      </c>
      <c r="C928" s="23" t="s">
        <v>0</v>
      </c>
      <c r="D928" s="10">
        <v>0.6</v>
      </c>
      <c r="E928" s="13"/>
      <c r="F928" s="13"/>
      <c r="G928" s="14"/>
    </row>
    <row r="929" spans="1:7" ht="15">
      <c r="A929" s="29"/>
      <c r="B929" s="21" t="s">
        <v>388</v>
      </c>
      <c r="C929" s="23"/>
      <c r="D929" s="10"/>
      <c r="E929" s="13"/>
      <c r="F929" s="13"/>
      <c r="G929" s="14"/>
    </row>
    <row r="930" spans="1:7" ht="15">
      <c r="A930" s="29">
        <v>14.005</v>
      </c>
      <c r="B930" s="6" t="s">
        <v>278</v>
      </c>
      <c r="C930" s="23" t="s">
        <v>0</v>
      </c>
      <c r="D930" s="10">
        <v>0.2597</v>
      </c>
      <c r="E930" s="13"/>
      <c r="F930" s="13"/>
      <c r="G930" s="14"/>
    </row>
    <row r="931" spans="1:7" ht="15">
      <c r="A931" s="29">
        <f t="shared" si="17"/>
        <v>14.006</v>
      </c>
      <c r="B931" s="6" t="s">
        <v>430</v>
      </c>
      <c r="C931" s="23" t="s">
        <v>0</v>
      </c>
      <c r="D931" s="10">
        <v>6.36</v>
      </c>
      <c r="E931" s="13"/>
      <c r="F931" s="13"/>
      <c r="G931" s="14"/>
    </row>
    <row r="932" spans="1:7" ht="15">
      <c r="A932" s="29">
        <f t="shared" si="17"/>
        <v>14.007</v>
      </c>
      <c r="B932" s="6" t="s">
        <v>261</v>
      </c>
      <c r="C932" s="23" t="s">
        <v>0</v>
      </c>
      <c r="D932" s="10">
        <v>0.41552000000000006</v>
      </c>
      <c r="E932" s="13"/>
      <c r="F932" s="13"/>
      <c r="G932" s="14"/>
    </row>
    <row r="933" spans="1:7" ht="15">
      <c r="A933" s="29">
        <f t="shared" si="17"/>
        <v>14.008</v>
      </c>
      <c r="B933" s="6" t="s">
        <v>607</v>
      </c>
      <c r="C933" s="23" t="s">
        <v>0</v>
      </c>
      <c r="D933" s="10">
        <v>2.29808</v>
      </c>
      <c r="E933" s="13"/>
      <c r="F933" s="13"/>
      <c r="G933" s="14"/>
    </row>
    <row r="934" spans="1:7" ht="15">
      <c r="A934" s="29">
        <f t="shared" si="17"/>
        <v>14.008999999999999</v>
      </c>
      <c r="B934" s="6" t="s">
        <v>505</v>
      </c>
      <c r="C934" s="23" t="s">
        <v>0</v>
      </c>
      <c r="D934" s="10">
        <v>4.6428</v>
      </c>
      <c r="E934" s="13"/>
      <c r="F934" s="13"/>
      <c r="G934" s="14"/>
    </row>
    <row r="935" spans="1:7" ht="15">
      <c r="A935" s="29">
        <f t="shared" si="17"/>
        <v>14.009999999999998</v>
      </c>
      <c r="B935" s="6" t="s">
        <v>608</v>
      </c>
      <c r="C935" s="23" t="s">
        <v>0</v>
      </c>
      <c r="D935" s="10">
        <v>1.2826</v>
      </c>
      <c r="E935" s="13"/>
      <c r="F935" s="13"/>
      <c r="G935" s="14"/>
    </row>
    <row r="936" spans="1:7" ht="15">
      <c r="A936" s="29">
        <f t="shared" si="17"/>
        <v>14.010999999999997</v>
      </c>
      <c r="B936" s="6" t="s">
        <v>435</v>
      </c>
      <c r="C936" s="23" t="s">
        <v>0</v>
      </c>
      <c r="D936" s="10">
        <v>2.7878</v>
      </c>
      <c r="E936" s="13"/>
      <c r="F936" s="13"/>
      <c r="G936" s="14"/>
    </row>
    <row r="937" spans="1:7" ht="15">
      <c r="A937" s="29">
        <f t="shared" si="17"/>
        <v>14.011999999999997</v>
      </c>
      <c r="B937" s="6" t="s">
        <v>519</v>
      </c>
      <c r="C937" s="23" t="s">
        <v>0</v>
      </c>
      <c r="D937" s="10">
        <v>7.186800000000001</v>
      </c>
      <c r="E937" s="13"/>
      <c r="F937" s="13"/>
      <c r="G937" s="14"/>
    </row>
    <row r="938" spans="1:7" ht="15">
      <c r="A938" s="29">
        <f t="shared" si="17"/>
        <v>14.012999999999996</v>
      </c>
      <c r="B938" s="47" t="s">
        <v>402</v>
      </c>
      <c r="C938" s="48" t="s">
        <v>0</v>
      </c>
      <c r="D938" s="49">
        <v>12.062800000000001</v>
      </c>
      <c r="E938" s="50"/>
      <c r="F938" s="50"/>
      <c r="G938" s="14"/>
    </row>
    <row r="939" spans="1:7" ht="15">
      <c r="A939" s="29">
        <f t="shared" si="17"/>
        <v>14.013999999999996</v>
      </c>
      <c r="B939" s="47" t="s">
        <v>609</v>
      </c>
      <c r="C939" s="48" t="s">
        <v>0</v>
      </c>
      <c r="D939" s="49">
        <v>1.1024</v>
      </c>
      <c r="E939" s="50"/>
      <c r="F939" s="50"/>
      <c r="G939" s="14"/>
    </row>
    <row r="940" spans="1:7" ht="15">
      <c r="A940" s="29"/>
      <c r="B940" s="21" t="s">
        <v>288</v>
      </c>
      <c r="C940" s="48"/>
      <c r="D940" s="49"/>
      <c r="E940" s="50"/>
      <c r="F940" s="50"/>
      <c r="G940" s="14"/>
    </row>
    <row r="941" spans="1:7" ht="15">
      <c r="A941" s="29">
        <v>14.015</v>
      </c>
      <c r="B941" s="47" t="s">
        <v>289</v>
      </c>
      <c r="C941" s="48" t="s">
        <v>10</v>
      </c>
      <c r="D941" s="49">
        <v>100.52</v>
      </c>
      <c r="E941" s="50"/>
      <c r="F941" s="50"/>
      <c r="G941" s="14"/>
    </row>
    <row r="942" spans="1:7" ht="15">
      <c r="A942" s="29">
        <f t="shared" si="17"/>
        <v>14.016</v>
      </c>
      <c r="B942" s="47" t="s">
        <v>290</v>
      </c>
      <c r="C942" s="48" t="s">
        <v>11</v>
      </c>
      <c r="D942" s="49">
        <v>35</v>
      </c>
      <c r="E942" s="50"/>
      <c r="F942" s="50"/>
      <c r="G942" s="14"/>
    </row>
    <row r="943" spans="1:7" ht="15">
      <c r="A943" s="29">
        <f t="shared" si="17"/>
        <v>14.017</v>
      </c>
      <c r="B943" s="47" t="s">
        <v>291</v>
      </c>
      <c r="C943" s="48" t="s">
        <v>10</v>
      </c>
      <c r="D943" s="49">
        <v>100.52</v>
      </c>
      <c r="E943" s="50"/>
      <c r="F943" s="50"/>
      <c r="G943" s="14"/>
    </row>
    <row r="944" spans="1:7" ht="15">
      <c r="A944" s="29">
        <f t="shared" si="17"/>
        <v>14.017999999999999</v>
      </c>
      <c r="B944" s="47" t="s">
        <v>400</v>
      </c>
      <c r="C944" s="48" t="s">
        <v>11</v>
      </c>
      <c r="D944" s="49">
        <v>19.68</v>
      </c>
      <c r="E944" s="50"/>
      <c r="F944" s="50"/>
      <c r="G944" s="14"/>
    </row>
    <row r="945" spans="1:7" ht="15">
      <c r="A945" s="29"/>
      <c r="B945" s="21" t="s">
        <v>296</v>
      </c>
      <c r="C945" s="48"/>
      <c r="D945" s="49"/>
      <c r="E945" s="50"/>
      <c r="F945" s="50"/>
      <c r="G945" s="14"/>
    </row>
    <row r="946" spans="1:7" ht="15">
      <c r="A946" s="29">
        <v>14.019</v>
      </c>
      <c r="B946" s="47" t="s">
        <v>297</v>
      </c>
      <c r="C946" s="48" t="s">
        <v>10</v>
      </c>
      <c r="D946" s="49">
        <v>33.2</v>
      </c>
      <c r="E946" s="50"/>
      <c r="F946" s="50"/>
      <c r="G946" s="14"/>
    </row>
    <row r="947" spans="1:7" ht="15">
      <c r="A947" s="29">
        <f t="shared" si="17"/>
        <v>14.02</v>
      </c>
      <c r="B947" s="47" t="s">
        <v>298</v>
      </c>
      <c r="C947" s="48" t="s">
        <v>10</v>
      </c>
      <c r="D947" s="49">
        <v>119.85</v>
      </c>
      <c r="E947" s="13"/>
      <c r="F947" s="50"/>
      <c r="G947" s="14"/>
    </row>
    <row r="948" spans="1:7" ht="15">
      <c r="A948" s="29"/>
      <c r="B948" s="21" t="s">
        <v>292</v>
      </c>
      <c r="C948" s="48"/>
      <c r="D948" s="49"/>
      <c r="E948" s="50"/>
      <c r="F948" s="50"/>
      <c r="G948" s="14"/>
    </row>
    <row r="949" spans="1:7" ht="15">
      <c r="A949" s="29">
        <v>14.021</v>
      </c>
      <c r="B949" s="47" t="s">
        <v>262</v>
      </c>
      <c r="C949" s="48" t="s">
        <v>10</v>
      </c>
      <c r="D949" s="49">
        <f>SUM(D946:D948)*2</f>
        <v>306.1</v>
      </c>
      <c r="E949" s="50"/>
      <c r="F949" s="50"/>
      <c r="G949" s="14"/>
    </row>
    <row r="950" spans="1:7" ht="15">
      <c r="A950" s="29">
        <f t="shared" si="17"/>
        <v>14.022</v>
      </c>
      <c r="B950" s="47" t="s">
        <v>293</v>
      </c>
      <c r="C950" s="48" t="s">
        <v>10</v>
      </c>
      <c r="D950" s="49">
        <f>+D949</f>
        <v>306.1</v>
      </c>
      <c r="E950" s="50"/>
      <c r="F950" s="50"/>
      <c r="G950" s="14"/>
    </row>
    <row r="951" spans="1:7" ht="15">
      <c r="A951" s="29">
        <f t="shared" si="17"/>
        <v>14.023</v>
      </c>
      <c r="B951" s="51" t="s">
        <v>309</v>
      </c>
      <c r="C951" s="48" t="s">
        <v>11</v>
      </c>
      <c r="D951" s="49">
        <v>118</v>
      </c>
      <c r="E951" s="50"/>
      <c r="F951" s="50"/>
      <c r="G951" s="14"/>
    </row>
    <row r="952" spans="1:7" ht="15">
      <c r="A952" s="29">
        <f t="shared" si="17"/>
        <v>14.024</v>
      </c>
      <c r="B952" s="47" t="s">
        <v>294</v>
      </c>
      <c r="C952" s="48" t="s">
        <v>10</v>
      </c>
      <c r="D952" s="49">
        <v>46.62</v>
      </c>
      <c r="E952" s="50"/>
      <c r="F952" s="50"/>
      <c r="G952" s="14"/>
    </row>
    <row r="953" spans="1:7" ht="15">
      <c r="A953" s="29">
        <f t="shared" si="17"/>
        <v>14.024999999999999</v>
      </c>
      <c r="B953" s="47" t="s">
        <v>299</v>
      </c>
      <c r="C953" s="48" t="s">
        <v>10</v>
      </c>
      <c r="D953" s="49">
        <f>79.05*0.25</f>
        <v>19.7625</v>
      </c>
      <c r="E953" s="50"/>
      <c r="F953" s="50"/>
      <c r="G953" s="14"/>
    </row>
    <row r="954" spans="1:7" ht="15">
      <c r="A954" s="29">
        <f t="shared" si="17"/>
        <v>14.025999999999998</v>
      </c>
      <c r="B954" s="47" t="s">
        <v>582</v>
      </c>
      <c r="C954" s="48" t="s">
        <v>11</v>
      </c>
      <c r="D954" s="49">
        <v>158</v>
      </c>
      <c r="E954" s="50"/>
      <c r="F954" s="50"/>
      <c r="G954" s="14"/>
    </row>
    <row r="955" spans="1:7" ht="15">
      <c r="A955" s="29"/>
      <c r="B955" s="21" t="s">
        <v>316</v>
      </c>
      <c r="C955" s="48"/>
      <c r="D955" s="49"/>
      <c r="E955" s="50"/>
      <c r="F955" s="50"/>
      <c r="G955" s="14"/>
    </row>
    <row r="956" spans="1:7" ht="15">
      <c r="A956" s="29">
        <v>14.027</v>
      </c>
      <c r="B956" s="47" t="s">
        <v>317</v>
      </c>
      <c r="C956" s="48" t="s">
        <v>10</v>
      </c>
      <c r="D956" s="49">
        <v>141.5</v>
      </c>
      <c r="E956" s="50"/>
      <c r="F956" s="50"/>
      <c r="G956" s="14"/>
    </row>
    <row r="957" spans="1:7" ht="15">
      <c r="A957" s="29">
        <f t="shared" si="17"/>
        <v>14.027999999999999</v>
      </c>
      <c r="B957" s="47" t="s">
        <v>359</v>
      </c>
      <c r="C957" s="48" t="s">
        <v>11</v>
      </c>
      <c r="D957" s="49">
        <f>6.85*5</f>
        <v>34.25</v>
      </c>
      <c r="E957" s="50"/>
      <c r="F957" s="50"/>
      <c r="G957" s="14"/>
    </row>
    <row r="958" spans="1:7" ht="15">
      <c r="A958" s="29">
        <f t="shared" si="17"/>
        <v>14.028999999999998</v>
      </c>
      <c r="B958" s="47" t="s">
        <v>358</v>
      </c>
      <c r="C958" s="48" t="s">
        <v>11</v>
      </c>
      <c r="D958" s="49">
        <v>43.5</v>
      </c>
      <c r="E958" s="50"/>
      <c r="F958" s="50"/>
      <c r="G958" s="14"/>
    </row>
    <row r="959" spans="1:7" ht="15">
      <c r="A959" s="29">
        <f t="shared" si="17"/>
        <v>14.029999999999998</v>
      </c>
      <c r="B959" s="47" t="s">
        <v>320</v>
      </c>
      <c r="C959" s="48" t="s">
        <v>11</v>
      </c>
      <c r="D959" s="49">
        <f>9*4</f>
        <v>36</v>
      </c>
      <c r="E959" s="50"/>
      <c r="F959" s="50"/>
      <c r="G959" s="14"/>
    </row>
    <row r="960" spans="1:7" ht="15">
      <c r="A960" s="29">
        <f t="shared" si="17"/>
        <v>14.030999999999997</v>
      </c>
      <c r="B960" s="47" t="s">
        <v>318</v>
      </c>
      <c r="C960" s="48" t="s">
        <v>319</v>
      </c>
      <c r="D960" s="49">
        <v>1</v>
      </c>
      <c r="E960" s="50"/>
      <c r="F960" s="50"/>
      <c r="G960" s="14"/>
    </row>
    <row r="961" spans="1:7" ht="15">
      <c r="A961" s="29"/>
      <c r="B961" s="21" t="s">
        <v>322</v>
      </c>
      <c r="C961" s="48"/>
      <c r="D961" s="49"/>
      <c r="E961" s="50"/>
      <c r="F961" s="50"/>
      <c r="G961" s="14"/>
    </row>
    <row r="962" spans="1:7" ht="15">
      <c r="A962" s="29">
        <v>14.032</v>
      </c>
      <c r="B962" s="47" t="s">
        <v>325</v>
      </c>
      <c r="C962" s="48" t="s">
        <v>10</v>
      </c>
      <c r="D962" s="49">
        <v>174.58</v>
      </c>
      <c r="E962" s="50"/>
      <c r="F962" s="50"/>
      <c r="G962" s="14"/>
    </row>
    <row r="963" spans="1:7" ht="15">
      <c r="A963" s="29">
        <f t="shared" si="17"/>
        <v>14.033</v>
      </c>
      <c r="B963" s="47" t="s">
        <v>323</v>
      </c>
      <c r="C963" s="48" t="s">
        <v>11</v>
      </c>
      <c r="D963" s="49">
        <v>85</v>
      </c>
      <c r="E963" s="50"/>
      <c r="F963" s="50"/>
      <c r="G963" s="14"/>
    </row>
    <row r="964" spans="1:7" ht="15">
      <c r="A964" s="29">
        <f t="shared" si="17"/>
        <v>14.033999999999999</v>
      </c>
      <c r="B964" s="47" t="s">
        <v>326</v>
      </c>
      <c r="C964" s="48" t="s">
        <v>10</v>
      </c>
      <c r="D964" s="49">
        <f>+D962</f>
        <v>174.58</v>
      </c>
      <c r="E964" s="50"/>
      <c r="F964" s="50"/>
      <c r="G964" s="14"/>
    </row>
    <row r="965" spans="1:7" ht="15">
      <c r="A965" s="29">
        <f t="shared" si="17"/>
        <v>14.034999999999998</v>
      </c>
      <c r="B965" s="47" t="s">
        <v>324</v>
      </c>
      <c r="C965" s="48" t="s">
        <v>11</v>
      </c>
      <c r="D965" s="49">
        <v>79.14</v>
      </c>
      <c r="E965" s="50"/>
      <c r="F965" s="50"/>
      <c r="G965" s="14"/>
    </row>
    <row r="966" spans="1:7" ht="15">
      <c r="A966" s="29"/>
      <c r="B966" s="21" t="s">
        <v>363</v>
      </c>
      <c r="C966" s="48"/>
      <c r="D966" s="49"/>
      <c r="E966" s="50"/>
      <c r="F966" s="50"/>
      <c r="G966" s="14"/>
    </row>
    <row r="967" spans="1:7" ht="15">
      <c r="A967" s="29">
        <v>14.036</v>
      </c>
      <c r="B967" s="47" t="s">
        <v>599</v>
      </c>
      <c r="C967" s="48" t="s">
        <v>12</v>
      </c>
      <c r="D967" s="49">
        <v>1</v>
      </c>
      <c r="E967" s="50"/>
      <c r="F967" s="50"/>
      <c r="G967" s="14"/>
    </row>
    <row r="968" spans="1:7" ht="15">
      <c r="A968" s="29">
        <f t="shared" si="17"/>
        <v>14.036999999999999</v>
      </c>
      <c r="B968" s="47" t="s">
        <v>380</v>
      </c>
      <c r="C968" s="48" t="s">
        <v>12</v>
      </c>
      <c r="D968" s="49">
        <v>1</v>
      </c>
      <c r="E968" s="50"/>
      <c r="F968" s="50"/>
      <c r="G968" s="14"/>
    </row>
    <row r="969" spans="1:7" ht="15">
      <c r="A969" s="29">
        <f t="shared" si="17"/>
        <v>14.037999999999998</v>
      </c>
      <c r="B969" s="47" t="s">
        <v>381</v>
      </c>
      <c r="C969" s="48" t="s">
        <v>12</v>
      </c>
      <c r="D969" s="49">
        <v>1</v>
      </c>
      <c r="E969" s="50"/>
      <c r="F969" s="50"/>
      <c r="G969" s="14"/>
    </row>
    <row r="970" spans="1:7" ht="25.5">
      <c r="A970" s="29">
        <f t="shared" si="17"/>
        <v>14.038999999999998</v>
      </c>
      <c r="B970" s="47" t="s">
        <v>403</v>
      </c>
      <c r="C970" s="48" t="s">
        <v>27</v>
      </c>
      <c r="D970" s="49">
        <v>2</v>
      </c>
      <c r="E970" s="50"/>
      <c r="F970" s="50"/>
      <c r="G970" s="14"/>
    </row>
    <row r="971" spans="1:7" ht="15">
      <c r="A971" s="29">
        <f t="shared" si="17"/>
        <v>14.039999999999997</v>
      </c>
      <c r="B971" s="47" t="s">
        <v>368</v>
      </c>
      <c r="C971" s="48" t="s">
        <v>364</v>
      </c>
      <c r="D971" s="49">
        <f>1.45*2*3.28</f>
        <v>9.511999999999999</v>
      </c>
      <c r="E971" s="50"/>
      <c r="F971" s="50"/>
      <c r="G971" s="14"/>
    </row>
    <row r="972" spans="1:7" ht="25.5">
      <c r="A972" s="29">
        <f t="shared" si="17"/>
        <v>14.040999999999997</v>
      </c>
      <c r="B972" s="47" t="s">
        <v>371</v>
      </c>
      <c r="C972" s="48" t="s">
        <v>27</v>
      </c>
      <c r="D972" s="49">
        <v>2</v>
      </c>
      <c r="E972" s="50"/>
      <c r="F972" s="50"/>
      <c r="G972" s="14"/>
    </row>
    <row r="973" spans="1:7" ht="15">
      <c r="A973" s="29">
        <f t="shared" si="17"/>
        <v>14.041999999999996</v>
      </c>
      <c r="B973" s="47" t="s">
        <v>367</v>
      </c>
      <c r="C973" s="48" t="s">
        <v>27</v>
      </c>
      <c r="D973" s="49">
        <v>2</v>
      </c>
      <c r="E973" s="50"/>
      <c r="F973" s="50"/>
      <c r="G973" s="14"/>
    </row>
    <row r="974" spans="1:7" ht="25.5">
      <c r="A974" s="29">
        <f t="shared" si="17"/>
        <v>14.042999999999996</v>
      </c>
      <c r="B974" s="47" t="s">
        <v>366</v>
      </c>
      <c r="C974" s="48" t="s">
        <v>27</v>
      </c>
      <c r="D974" s="49">
        <v>2</v>
      </c>
      <c r="E974" s="50"/>
      <c r="F974" s="50"/>
      <c r="G974" s="14"/>
    </row>
    <row r="975" spans="1:7" ht="25.5">
      <c r="A975" s="29">
        <f t="shared" si="17"/>
        <v>14.043999999999995</v>
      </c>
      <c r="B975" s="47" t="s">
        <v>372</v>
      </c>
      <c r="C975" s="48" t="s">
        <v>27</v>
      </c>
      <c r="D975" s="49">
        <v>2</v>
      </c>
      <c r="E975" s="50"/>
      <c r="F975" s="50"/>
      <c r="G975" s="14"/>
    </row>
    <row r="976" spans="1:7" ht="15">
      <c r="A976" s="29">
        <f t="shared" si="17"/>
        <v>14.044999999999995</v>
      </c>
      <c r="B976" s="47" t="s">
        <v>365</v>
      </c>
      <c r="C976" s="48" t="s">
        <v>27</v>
      </c>
      <c r="D976" s="49">
        <v>2</v>
      </c>
      <c r="E976" s="50"/>
      <c r="F976" s="50"/>
      <c r="G976" s="14"/>
    </row>
    <row r="977" spans="1:7" ht="15">
      <c r="A977" s="29">
        <f t="shared" si="17"/>
        <v>14.045999999999994</v>
      </c>
      <c r="B977" s="47" t="s">
        <v>374</v>
      </c>
      <c r="C977" s="48" t="s">
        <v>27</v>
      </c>
      <c r="D977" s="49">
        <v>2</v>
      </c>
      <c r="E977" s="50"/>
      <c r="F977" s="50"/>
      <c r="G977" s="14"/>
    </row>
    <row r="978" spans="1:7" ht="15">
      <c r="A978" s="29">
        <f t="shared" si="17"/>
        <v>14.046999999999993</v>
      </c>
      <c r="B978" s="47" t="s">
        <v>375</v>
      </c>
      <c r="C978" s="48" t="s">
        <v>27</v>
      </c>
      <c r="D978" s="49">
        <v>2</v>
      </c>
      <c r="E978" s="50"/>
      <c r="F978" s="50"/>
      <c r="G978" s="14"/>
    </row>
    <row r="979" spans="1:7" ht="15">
      <c r="A979" s="29">
        <f t="shared" si="17"/>
        <v>14.047999999999993</v>
      </c>
      <c r="B979" s="47" t="s">
        <v>376</v>
      </c>
      <c r="C979" s="48" t="s">
        <v>27</v>
      </c>
      <c r="D979" s="49">
        <v>2</v>
      </c>
      <c r="E979" s="50"/>
      <c r="F979" s="50"/>
      <c r="G979" s="14"/>
    </row>
    <row r="980" spans="1:7" ht="15">
      <c r="A980" s="29">
        <f t="shared" si="17"/>
        <v>14.048999999999992</v>
      </c>
      <c r="B980" s="47" t="s">
        <v>377</v>
      </c>
      <c r="C980" s="48" t="s">
        <v>27</v>
      </c>
      <c r="D980" s="49">
        <v>2</v>
      </c>
      <c r="E980" s="50"/>
      <c r="F980" s="50"/>
      <c r="G980" s="14"/>
    </row>
    <row r="981" spans="1:7" ht="15">
      <c r="A981" s="29">
        <f t="shared" si="17"/>
        <v>14.049999999999992</v>
      </c>
      <c r="B981" s="47" t="s">
        <v>383</v>
      </c>
      <c r="C981" s="48" t="s">
        <v>13</v>
      </c>
      <c r="D981" s="49">
        <v>2</v>
      </c>
      <c r="E981" s="50"/>
      <c r="F981" s="50"/>
      <c r="G981" s="14"/>
    </row>
    <row r="982" spans="1:7" ht="15">
      <c r="A982" s="29">
        <f t="shared" si="17"/>
        <v>14.050999999999991</v>
      </c>
      <c r="B982" s="47" t="s">
        <v>610</v>
      </c>
      <c r="C982" s="48" t="s">
        <v>13</v>
      </c>
      <c r="D982" s="49">
        <v>2</v>
      </c>
      <c r="E982" s="50"/>
      <c r="F982" s="50"/>
      <c r="G982" s="14"/>
    </row>
    <row r="983" spans="1:7" ht="15">
      <c r="A983" s="29"/>
      <c r="B983" s="21" t="s">
        <v>327</v>
      </c>
      <c r="C983" s="48"/>
      <c r="D983" s="49"/>
      <c r="E983" s="50"/>
      <c r="F983" s="50"/>
      <c r="G983" s="14"/>
    </row>
    <row r="984" spans="1:7" ht="15">
      <c r="A984" s="29">
        <v>14.052</v>
      </c>
      <c r="B984" s="47" t="s">
        <v>330</v>
      </c>
      <c r="C984" s="48" t="s">
        <v>13</v>
      </c>
      <c r="D984" s="49">
        <v>4</v>
      </c>
      <c r="E984" s="50"/>
      <c r="F984" s="50"/>
      <c r="G984" s="14"/>
    </row>
    <row r="985" spans="1:7" ht="15">
      <c r="A985" s="29">
        <f t="shared" si="17"/>
        <v>14.052999999999999</v>
      </c>
      <c r="B985" s="47" t="s">
        <v>331</v>
      </c>
      <c r="C985" s="48" t="s">
        <v>13</v>
      </c>
      <c r="D985" s="49">
        <v>2</v>
      </c>
      <c r="E985" s="50"/>
      <c r="F985" s="50"/>
      <c r="G985" s="14"/>
    </row>
    <row r="986" spans="1:7" ht="15">
      <c r="A986" s="29">
        <f t="shared" si="17"/>
        <v>14.053999999999998</v>
      </c>
      <c r="B986" s="47" t="s">
        <v>332</v>
      </c>
      <c r="C986" s="48" t="s">
        <v>13</v>
      </c>
      <c r="D986" s="49">
        <v>2</v>
      </c>
      <c r="E986" s="50"/>
      <c r="F986" s="50"/>
      <c r="G986" s="14"/>
    </row>
    <row r="987" spans="1:7" ht="15">
      <c r="A987" s="29">
        <f t="shared" si="17"/>
        <v>14.054999999999998</v>
      </c>
      <c r="B987" s="47" t="s">
        <v>401</v>
      </c>
      <c r="C987" s="48" t="s">
        <v>13</v>
      </c>
      <c r="D987" s="49">
        <v>2</v>
      </c>
      <c r="E987" s="50"/>
      <c r="F987" s="50"/>
      <c r="G987" s="14"/>
    </row>
    <row r="988" spans="1:7" ht="15">
      <c r="A988" s="29">
        <f t="shared" si="17"/>
        <v>14.055999999999997</v>
      </c>
      <c r="B988" s="47" t="s">
        <v>611</v>
      </c>
      <c r="C988" s="48" t="s">
        <v>13</v>
      </c>
      <c r="D988" s="49">
        <v>2</v>
      </c>
      <c r="E988" s="50"/>
      <c r="F988" s="50"/>
      <c r="G988" s="14"/>
    </row>
    <row r="989" spans="1:7" ht="15">
      <c r="A989" s="29">
        <f>+A987+0.001</f>
        <v>14.055999999999997</v>
      </c>
      <c r="B989" s="47" t="s">
        <v>329</v>
      </c>
      <c r="C989" s="48" t="s">
        <v>13</v>
      </c>
      <c r="D989" s="49">
        <v>4</v>
      </c>
      <c r="E989" s="50"/>
      <c r="F989" s="50"/>
      <c r="G989" s="14"/>
    </row>
    <row r="990" spans="1:7" ht="15">
      <c r="A990" s="29">
        <f>+A989+0.001</f>
        <v>14.056999999999997</v>
      </c>
      <c r="B990" s="47" t="s">
        <v>334</v>
      </c>
      <c r="C990" s="48" t="s">
        <v>159</v>
      </c>
      <c r="D990" s="49">
        <f>56.7*10.76</f>
        <v>610.092</v>
      </c>
      <c r="E990" s="50"/>
      <c r="F990" s="50"/>
      <c r="G990" s="14"/>
    </row>
    <row r="991" spans="1:7" ht="15">
      <c r="A991" s="29"/>
      <c r="B991" s="21" t="s">
        <v>338</v>
      </c>
      <c r="C991" s="48"/>
      <c r="D991" s="49"/>
      <c r="E991" s="50"/>
      <c r="F991" s="50"/>
      <c r="G991" s="14"/>
    </row>
    <row r="992" spans="1:7" ht="15">
      <c r="A992" s="29">
        <v>14.058</v>
      </c>
      <c r="B992" s="47" t="s">
        <v>336</v>
      </c>
      <c r="C992" s="48" t="s">
        <v>11</v>
      </c>
      <c r="D992" s="49">
        <v>54.6</v>
      </c>
      <c r="E992" s="50"/>
      <c r="F992" s="50"/>
      <c r="G992" s="14"/>
    </row>
    <row r="993" spans="1:7" ht="15">
      <c r="A993" s="29">
        <f>+A992+0.001</f>
        <v>14.059</v>
      </c>
      <c r="B993" s="47" t="s">
        <v>335</v>
      </c>
      <c r="C993" s="48" t="s">
        <v>16</v>
      </c>
      <c r="D993" s="49">
        <f>+D994*0.3</f>
        <v>19.656</v>
      </c>
      <c r="E993" s="50"/>
      <c r="F993" s="50"/>
      <c r="G993" s="14"/>
    </row>
    <row r="994" spans="1:7" ht="15">
      <c r="A994" s="29">
        <f>+A993+0.001</f>
        <v>14.059999999999999</v>
      </c>
      <c r="B994" s="47" t="s">
        <v>337</v>
      </c>
      <c r="C994" s="48" t="s">
        <v>10</v>
      </c>
      <c r="D994" s="49">
        <f>54.6*1.2</f>
        <v>65.52</v>
      </c>
      <c r="E994" s="50"/>
      <c r="F994" s="50"/>
      <c r="G994" s="14"/>
    </row>
    <row r="995" spans="1:7" ht="15">
      <c r="A995" s="29"/>
      <c r="B995" s="21" t="s">
        <v>339</v>
      </c>
      <c r="C995" s="48"/>
      <c r="D995" s="49"/>
      <c r="E995" s="50"/>
      <c r="F995" s="50"/>
      <c r="G995" s="14"/>
    </row>
    <row r="996" spans="1:7" ht="15">
      <c r="A996" s="29">
        <v>14.061</v>
      </c>
      <c r="B996" s="47" t="s">
        <v>342</v>
      </c>
      <c r="C996" s="48" t="s">
        <v>10</v>
      </c>
      <c r="D996" s="49">
        <v>184.3</v>
      </c>
      <c r="E996" s="50"/>
      <c r="F996" s="50"/>
      <c r="G996" s="14"/>
    </row>
    <row r="997" spans="1:7" ht="15">
      <c r="A997" s="29">
        <f>+A996+0.001</f>
        <v>14.062</v>
      </c>
      <c r="B997" s="47" t="s">
        <v>340</v>
      </c>
      <c r="C997" s="48" t="s">
        <v>10</v>
      </c>
      <c r="D997" s="49">
        <f>+D996*0.55</f>
        <v>101.36500000000001</v>
      </c>
      <c r="E997" s="50"/>
      <c r="F997" s="50"/>
      <c r="G997" s="14"/>
    </row>
    <row r="998" spans="1:7" ht="15">
      <c r="A998" s="29">
        <f>+A997+0.001</f>
        <v>14.062999999999999</v>
      </c>
      <c r="B998" s="47" t="s">
        <v>341</v>
      </c>
      <c r="C998" s="48" t="s">
        <v>10</v>
      </c>
      <c r="D998" s="49">
        <f>+D996*0.45</f>
        <v>82.935</v>
      </c>
      <c r="E998" s="50"/>
      <c r="F998" s="50"/>
      <c r="G998" s="14"/>
    </row>
    <row r="999" spans="1:7" ht="15.75" thickBot="1">
      <c r="A999" s="29"/>
      <c r="B999" s="6"/>
      <c r="C999" s="23"/>
      <c r="D999" s="10"/>
      <c r="E999" s="13"/>
      <c r="F999" s="13"/>
      <c r="G999" s="14"/>
    </row>
    <row r="1000" spans="1:7" ht="15.75" thickBot="1">
      <c r="A1000" s="29"/>
      <c r="B1000" s="6"/>
      <c r="C1000" s="23"/>
      <c r="D1000" s="10"/>
      <c r="E1000" s="71" t="str">
        <f>+B922</f>
        <v>AULA INICIAL DOBLE </v>
      </c>
      <c r="F1000" s="72"/>
      <c r="G1000" s="16">
        <f>SUM(F922:F999)</f>
        <v>0</v>
      </c>
    </row>
    <row r="1001" spans="1:2" ht="16.5" thickBot="1">
      <c r="A1001" s="29">
        <v>15</v>
      </c>
      <c r="B1001" s="61" t="s">
        <v>385</v>
      </c>
    </row>
    <row r="1002" spans="1:4" ht="30">
      <c r="A1002" s="29">
        <v>15.001</v>
      </c>
      <c r="B1002" s="41" t="s">
        <v>625</v>
      </c>
      <c r="C1002" s="44" t="s">
        <v>623</v>
      </c>
      <c r="D1002" s="45">
        <v>4</v>
      </c>
    </row>
    <row r="1003" spans="1:4" ht="30.75" thickBot="1">
      <c r="A1003" s="29">
        <v>15.002</v>
      </c>
      <c r="B1003" s="41" t="s">
        <v>773</v>
      </c>
      <c r="C1003" s="44" t="s">
        <v>118</v>
      </c>
      <c r="D1003" s="45">
        <f>22*4+(3+8+4)</f>
        <v>103</v>
      </c>
    </row>
    <row r="1004" spans="1:7" ht="15.75" thickBot="1">
      <c r="A1004" s="29"/>
      <c r="E1004" s="71" t="str">
        <f>+B1001</f>
        <v>MISCELANEOS </v>
      </c>
      <c r="F1004" s="72"/>
      <c r="G1004" s="16">
        <f>SUM(F1002:F1003)</f>
        <v>0</v>
      </c>
    </row>
    <row r="1005" ht="15">
      <c r="A1005" s="29"/>
    </row>
    <row r="1006" ht="15.75" thickBot="1">
      <c r="A1006" s="29"/>
    </row>
    <row r="1007" spans="1:2" ht="16.5" thickBot="1">
      <c r="A1007" s="29"/>
      <c r="B1007" s="61" t="s">
        <v>762</v>
      </c>
    </row>
    <row r="1008" ht="15">
      <c r="A1008" s="29"/>
    </row>
    <row r="1009" spans="1:2" ht="15">
      <c r="A1009" s="29">
        <v>16</v>
      </c>
      <c r="B1009" s="21" t="s">
        <v>754</v>
      </c>
    </row>
    <row r="1010" spans="1:4" ht="60">
      <c r="A1010" s="29">
        <f>+A1009+0.001</f>
        <v>16.001</v>
      </c>
      <c r="B1010" s="41" t="s">
        <v>724</v>
      </c>
      <c r="C1010" s="44" t="s">
        <v>177</v>
      </c>
      <c r="D1010" s="45">
        <v>98</v>
      </c>
    </row>
    <row r="1011" spans="1:4" ht="75">
      <c r="A1011" s="29">
        <f aca="true" t="shared" si="18" ref="A1011:A1043">+A1010+0.001</f>
        <v>16.002000000000002</v>
      </c>
      <c r="B1011" s="41" t="s">
        <v>725</v>
      </c>
      <c r="C1011" s="44" t="s">
        <v>177</v>
      </c>
      <c r="D1011" s="45">
        <v>14</v>
      </c>
    </row>
    <row r="1012" spans="1:4" ht="30">
      <c r="A1012" s="29">
        <f t="shared" si="18"/>
        <v>16.003000000000004</v>
      </c>
      <c r="B1012" s="41" t="s">
        <v>726</v>
      </c>
      <c r="C1012" s="44" t="s">
        <v>177</v>
      </c>
      <c r="D1012" s="45">
        <v>72</v>
      </c>
    </row>
    <row r="1013" spans="1:4" ht="75">
      <c r="A1013" s="29">
        <f t="shared" si="18"/>
        <v>16.004000000000005</v>
      </c>
      <c r="B1013" s="41" t="s">
        <v>182</v>
      </c>
      <c r="C1013" s="44" t="s">
        <v>177</v>
      </c>
      <c r="D1013" s="45">
        <v>14</v>
      </c>
    </row>
    <row r="1014" spans="1:4" ht="75">
      <c r="A1014" s="29">
        <f t="shared" si="18"/>
        <v>16.005000000000006</v>
      </c>
      <c r="B1014" s="41" t="s">
        <v>727</v>
      </c>
      <c r="C1014" s="44" t="s">
        <v>177</v>
      </c>
      <c r="D1014" s="45">
        <v>12</v>
      </c>
    </row>
    <row r="1015" spans="1:4" ht="75">
      <c r="A1015" s="29">
        <f t="shared" si="18"/>
        <v>16.006000000000007</v>
      </c>
      <c r="B1015" s="41" t="s">
        <v>728</v>
      </c>
      <c r="C1015" s="44" t="s">
        <v>177</v>
      </c>
      <c r="D1015" s="45">
        <v>4</v>
      </c>
    </row>
    <row r="1016" spans="1:4" ht="75">
      <c r="A1016" s="29">
        <f t="shared" si="18"/>
        <v>16.00700000000001</v>
      </c>
      <c r="B1016" s="41" t="s">
        <v>729</v>
      </c>
      <c r="C1016" s="44" t="s">
        <v>177</v>
      </c>
      <c r="D1016" s="45">
        <v>12</v>
      </c>
    </row>
    <row r="1017" spans="1:4" ht="75">
      <c r="A1017" s="29">
        <f t="shared" si="18"/>
        <v>16.00800000000001</v>
      </c>
      <c r="B1017" s="41" t="s">
        <v>730</v>
      </c>
      <c r="C1017" s="44" t="s">
        <v>177</v>
      </c>
      <c r="D1017" s="45">
        <v>8</v>
      </c>
    </row>
    <row r="1018" spans="1:4" ht="75">
      <c r="A1018" s="29">
        <f>+A1017+0.001</f>
        <v>16.00900000000001</v>
      </c>
      <c r="B1018" s="41" t="s">
        <v>731</v>
      </c>
      <c r="C1018" s="44" t="s">
        <v>177</v>
      </c>
      <c r="D1018" s="45">
        <v>4</v>
      </c>
    </row>
    <row r="1019" spans="1:4" ht="30">
      <c r="A1019" s="29">
        <f t="shared" si="18"/>
        <v>16.010000000000012</v>
      </c>
      <c r="B1019" s="41" t="s">
        <v>732</v>
      </c>
      <c r="C1019" s="44" t="s">
        <v>177</v>
      </c>
      <c r="D1019" s="45">
        <v>4</v>
      </c>
    </row>
    <row r="1020" spans="1:4" ht="30">
      <c r="A1020" s="29">
        <f t="shared" si="18"/>
        <v>16.011000000000013</v>
      </c>
      <c r="B1020" s="41" t="s">
        <v>733</v>
      </c>
      <c r="C1020" s="44" t="s">
        <v>177</v>
      </c>
      <c r="D1020" s="45">
        <v>1</v>
      </c>
    </row>
    <row r="1021" spans="1:4" ht="60">
      <c r="A1021" s="29">
        <f t="shared" si="18"/>
        <v>16.012000000000015</v>
      </c>
      <c r="B1021" s="41" t="s">
        <v>198</v>
      </c>
      <c r="C1021" s="44" t="s">
        <v>177</v>
      </c>
      <c r="D1021" s="45">
        <v>1</v>
      </c>
    </row>
    <row r="1022" spans="1:4" ht="60">
      <c r="A1022" s="29">
        <f t="shared" si="18"/>
        <v>16.013000000000016</v>
      </c>
      <c r="B1022" s="41" t="s">
        <v>734</v>
      </c>
      <c r="C1022" s="44" t="s">
        <v>200</v>
      </c>
      <c r="D1022" s="45">
        <v>298.47999999999996</v>
      </c>
    </row>
    <row r="1023" ht="15">
      <c r="A1023" s="29"/>
    </row>
    <row r="1024" ht="15">
      <c r="A1024" s="29"/>
    </row>
    <row r="1025" spans="1:2" ht="15">
      <c r="A1025" s="29">
        <v>17</v>
      </c>
      <c r="B1025" s="21" t="s">
        <v>735</v>
      </c>
    </row>
    <row r="1026" spans="1:4" ht="15">
      <c r="A1026" s="29">
        <f t="shared" si="18"/>
        <v>17.001</v>
      </c>
      <c r="B1026" s="41" t="s">
        <v>736</v>
      </c>
      <c r="C1026" s="44" t="s">
        <v>177</v>
      </c>
      <c r="D1026" s="45">
        <v>2</v>
      </c>
    </row>
    <row r="1027" spans="1:4" ht="15">
      <c r="A1027" s="29">
        <f t="shared" si="18"/>
        <v>17.002000000000002</v>
      </c>
      <c r="B1027" s="41" t="s">
        <v>737</v>
      </c>
      <c r="C1027" s="44" t="s">
        <v>177</v>
      </c>
      <c r="D1027" s="45">
        <v>1</v>
      </c>
    </row>
    <row r="1028" spans="1:4" ht="15">
      <c r="A1028" s="29">
        <f t="shared" si="18"/>
        <v>17.003000000000004</v>
      </c>
      <c r="B1028" s="41" t="s">
        <v>738</v>
      </c>
      <c r="C1028" s="44" t="s">
        <v>177</v>
      </c>
      <c r="D1028" s="45">
        <v>1</v>
      </c>
    </row>
    <row r="1029" spans="1:4" ht="15">
      <c r="A1029" s="29">
        <f t="shared" si="18"/>
        <v>17.004000000000005</v>
      </c>
      <c r="B1029" s="41" t="s">
        <v>739</v>
      </c>
      <c r="C1029" s="44" t="s">
        <v>177</v>
      </c>
      <c r="D1029" s="45">
        <v>1</v>
      </c>
    </row>
    <row r="1030" spans="1:4" ht="15">
      <c r="A1030" s="29">
        <f t="shared" si="18"/>
        <v>17.005000000000006</v>
      </c>
      <c r="B1030" s="41" t="s">
        <v>740</v>
      </c>
      <c r="C1030" s="44" t="s">
        <v>177</v>
      </c>
      <c r="D1030" s="45">
        <v>1</v>
      </c>
    </row>
    <row r="1031" spans="1:4" ht="15">
      <c r="A1031" s="29">
        <f t="shared" si="18"/>
        <v>17.006000000000007</v>
      </c>
      <c r="B1031" s="41" t="s">
        <v>741</v>
      </c>
      <c r="C1031" s="44" t="s">
        <v>620</v>
      </c>
      <c r="D1031" s="45">
        <v>174</v>
      </c>
    </row>
    <row r="1032" spans="1:4" ht="15">
      <c r="A1032" s="29">
        <f t="shared" si="18"/>
        <v>17.00700000000001</v>
      </c>
      <c r="B1032" s="41" t="s">
        <v>742</v>
      </c>
      <c r="C1032" s="44" t="s">
        <v>177</v>
      </c>
      <c r="D1032" s="45">
        <v>1</v>
      </c>
    </row>
    <row r="1033" spans="1:4" ht="15">
      <c r="A1033" s="29">
        <f t="shared" si="18"/>
        <v>17.00800000000001</v>
      </c>
      <c r="B1033" s="41" t="s">
        <v>743</v>
      </c>
      <c r="C1033" s="44" t="s">
        <v>177</v>
      </c>
      <c r="D1033" s="45">
        <v>1</v>
      </c>
    </row>
    <row r="1034" spans="1:4" ht="15">
      <c r="A1034" s="29">
        <f t="shared" si="18"/>
        <v>17.00900000000001</v>
      </c>
      <c r="B1034" s="41" t="s">
        <v>744</v>
      </c>
      <c r="C1034" s="44" t="s">
        <v>177</v>
      </c>
      <c r="D1034" s="45">
        <v>2</v>
      </c>
    </row>
    <row r="1035" spans="1:4" ht="15">
      <c r="A1035" s="29">
        <f t="shared" si="18"/>
        <v>17.010000000000012</v>
      </c>
      <c r="B1035" s="41" t="s">
        <v>745</v>
      </c>
      <c r="C1035" s="44" t="s">
        <v>177</v>
      </c>
      <c r="D1035" s="45">
        <v>1</v>
      </c>
    </row>
    <row r="1036" spans="1:4" ht="15">
      <c r="A1036" s="29">
        <f t="shared" si="18"/>
        <v>17.011000000000013</v>
      </c>
      <c r="B1036" s="41" t="s">
        <v>746</v>
      </c>
      <c r="C1036" s="44" t="s">
        <v>177</v>
      </c>
      <c r="D1036" s="45">
        <v>2</v>
      </c>
    </row>
    <row r="1037" spans="1:4" ht="15">
      <c r="A1037" s="29">
        <f t="shared" si="18"/>
        <v>17.012000000000015</v>
      </c>
      <c r="B1037" s="41" t="s">
        <v>747</v>
      </c>
      <c r="C1037" s="44" t="s">
        <v>677</v>
      </c>
      <c r="D1037" s="45">
        <v>22</v>
      </c>
    </row>
    <row r="1038" spans="1:4" ht="15">
      <c r="A1038" s="29">
        <f t="shared" si="18"/>
        <v>17.013000000000016</v>
      </c>
      <c r="B1038" s="41" t="s">
        <v>748</v>
      </c>
      <c r="C1038" s="44" t="s">
        <v>177</v>
      </c>
      <c r="D1038" s="45">
        <v>1</v>
      </c>
    </row>
    <row r="1039" spans="1:4" ht="15">
      <c r="A1039" s="29">
        <f t="shared" si="18"/>
        <v>17.014000000000017</v>
      </c>
      <c r="B1039" s="41" t="s">
        <v>749</v>
      </c>
      <c r="C1039" s="44" t="s">
        <v>177</v>
      </c>
      <c r="D1039" s="45">
        <v>1</v>
      </c>
    </row>
    <row r="1040" spans="1:4" ht="15">
      <c r="A1040" s="29">
        <f t="shared" si="18"/>
        <v>17.01500000000002</v>
      </c>
      <c r="B1040" s="41" t="s">
        <v>750</v>
      </c>
      <c r="C1040" s="44" t="s">
        <v>177</v>
      </c>
      <c r="D1040" s="45">
        <v>5</v>
      </c>
    </row>
    <row r="1041" spans="1:4" ht="30">
      <c r="A1041" s="29">
        <f t="shared" si="18"/>
        <v>17.01600000000002</v>
      </c>
      <c r="B1041" s="41" t="s">
        <v>751</v>
      </c>
      <c r="C1041" s="44" t="s">
        <v>177</v>
      </c>
      <c r="D1041" s="45">
        <v>1</v>
      </c>
    </row>
    <row r="1042" spans="1:4" ht="15">
      <c r="A1042" s="29">
        <f t="shared" si="18"/>
        <v>17.01700000000002</v>
      </c>
      <c r="B1042" s="41" t="s">
        <v>752</v>
      </c>
      <c r="C1042" s="44" t="s">
        <v>177</v>
      </c>
      <c r="D1042" s="45">
        <v>1</v>
      </c>
    </row>
    <row r="1043" spans="1:4" ht="15">
      <c r="A1043" s="29">
        <f t="shared" si="18"/>
        <v>17.018000000000022</v>
      </c>
      <c r="B1043" s="41" t="s">
        <v>753</v>
      </c>
      <c r="C1043" s="44" t="s">
        <v>177</v>
      </c>
      <c r="D1043" s="45">
        <v>1</v>
      </c>
    </row>
    <row r="1044" ht="15">
      <c r="A1044" s="29"/>
    </row>
    <row r="1045" spans="1:2" ht="15">
      <c r="A1045" s="29">
        <v>18</v>
      </c>
      <c r="B1045" s="21" t="s">
        <v>755</v>
      </c>
    </row>
    <row r="1046" spans="1:4" ht="60">
      <c r="A1046" s="29">
        <f>+A1045+0.001</f>
        <v>18.001</v>
      </c>
      <c r="B1046" s="41" t="s">
        <v>724</v>
      </c>
      <c r="C1046" s="44" t="s">
        <v>177</v>
      </c>
      <c r="D1046" s="45">
        <v>16</v>
      </c>
    </row>
    <row r="1047" spans="1:4" ht="75">
      <c r="A1047" s="29">
        <f aca="true" t="shared" si="19" ref="A1047:A1055">+A1046+0.001</f>
        <v>18.002000000000002</v>
      </c>
      <c r="B1047" s="41" t="s">
        <v>725</v>
      </c>
      <c r="C1047" s="44" t="s">
        <v>177</v>
      </c>
      <c r="D1047" s="45">
        <v>8</v>
      </c>
    </row>
    <row r="1048" spans="1:4" ht="30">
      <c r="A1048" s="29">
        <f t="shared" si="19"/>
        <v>18.003000000000004</v>
      </c>
      <c r="B1048" s="41" t="s">
        <v>726</v>
      </c>
      <c r="C1048" s="44" t="s">
        <v>177</v>
      </c>
      <c r="D1048" s="45">
        <v>16</v>
      </c>
    </row>
    <row r="1049" spans="1:4" ht="75">
      <c r="A1049" s="29">
        <f t="shared" si="19"/>
        <v>18.004000000000005</v>
      </c>
      <c r="B1049" s="41" t="s">
        <v>182</v>
      </c>
      <c r="C1049" s="44" t="s">
        <v>177</v>
      </c>
      <c r="D1049" s="45">
        <v>8</v>
      </c>
    </row>
    <row r="1050" spans="1:4" ht="75">
      <c r="A1050" s="29">
        <f t="shared" si="19"/>
        <v>18.005000000000006</v>
      </c>
      <c r="B1050" s="41" t="s">
        <v>727</v>
      </c>
      <c r="C1050" s="44" t="s">
        <v>177</v>
      </c>
      <c r="D1050" s="45">
        <v>10</v>
      </c>
    </row>
    <row r="1051" spans="1:4" ht="75">
      <c r="A1051" s="29">
        <f t="shared" si="19"/>
        <v>18.006000000000007</v>
      </c>
      <c r="B1051" s="41" t="s">
        <v>729</v>
      </c>
      <c r="C1051" s="44" t="s">
        <v>177</v>
      </c>
      <c r="D1051" s="45">
        <v>16</v>
      </c>
    </row>
    <row r="1052" spans="1:4" ht="75">
      <c r="A1052" s="29">
        <f t="shared" si="19"/>
        <v>18.00700000000001</v>
      </c>
      <c r="B1052" s="41" t="s">
        <v>730</v>
      </c>
      <c r="C1052" s="44" t="s">
        <v>177</v>
      </c>
      <c r="D1052" s="45">
        <v>4</v>
      </c>
    </row>
    <row r="1053" spans="1:4" ht="75">
      <c r="A1053" s="29">
        <f t="shared" si="19"/>
        <v>18.00800000000001</v>
      </c>
      <c r="B1053" s="41" t="s">
        <v>731</v>
      </c>
      <c r="C1053" s="44" t="s">
        <v>177</v>
      </c>
      <c r="D1053" s="45">
        <v>2</v>
      </c>
    </row>
    <row r="1054" spans="1:4" ht="30">
      <c r="A1054" s="29">
        <f t="shared" si="19"/>
        <v>18.00900000000001</v>
      </c>
      <c r="B1054" s="41" t="s">
        <v>759</v>
      </c>
      <c r="C1054" s="44" t="s">
        <v>177</v>
      </c>
      <c r="D1054" s="45">
        <v>1</v>
      </c>
    </row>
    <row r="1055" spans="1:4" ht="45">
      <c r="A1055" s="29">
        <f t="shared" si="19"/>
        <v>18.010000000000012</v>
      </c>
      <c r="B1055" s="41" t="s">
        <v>756</v>
      </c>
      <c r="C1055" s="44" t="s">
        <v>200</v>
      </c>
      <c r="D1055" s="45">
        <v>240</v>
      </c>
    </row>
    <row r="1056" spans="1:2" ht="15">
      <c r="A1056" s="29">
        <v>19</v>
      </c>
      <c r="B1056" s="21" t="s">
        <v>757</v>
      </c>
    </row>
    <row r="1057" spans="1:4" ht="60">
      <c r="A1057" s="29">
        <f>+A1056+0.001</f>
        <v>19.001</v>
      </c>
      <c r="B1057" s="41" t="s">
        <v>724</v>
      </c>
      <c r="C1057" s="44" t="s">
        <v>177</v>
      </c>
      <c r="D1057" s="45">
        <v>8</v>
      </c>
    </row>
    <row r="1058" spans="1:4" ht="75">
      <c r="A1058" s="29">
        <f aca="true" t="shared" si="20" ref="A1058:A1065">+A1057+0.001</f>
        <v>19.002000000000002</v>
      </c>
      <c r="B1058" s="41" t="s">
        <v>725</v>
      </c>
      <c r="C1058" s="44" t="s">
        <v>177</v>
      </c>
      <c r="D1058" s="45">
        <v>3</v>
      </c>
    </row>
    <row r="1059" spans="1:4" ht="30">
      <c r="A1059" s="29">
        <f t="shared" si="20"/>
        <v>19.003000000000004</v>
      </c>
      <c r="B1059" s="41" t="s">
        <v>726</v>
      </c>
      <c r="C1059" s="44" t="s">
        <v>177</v>
      </c>
      <c r="D1059" s="45">
        <f>+D1057</f>
        <v>8</v>
      </c>
    </row>
    <row r="1060" spans="1:4" ht="75">
      <c r="A1060" s="29">
        <f t="shared" si="20"/>
        <v>19.004000000000005</v>
      </c>
      <c r="B1060" s="41" t="s">
        <v>182</v>
      </c>
      <c r="C1060" s="44" t="s">
        <v>177</v>
      </c>
      <c r="D1060" s="45">
        <v>4</v>
      </c>
    </row>
    <row r="1061" spans="1:4" ht="75">
      <c r="A1061" s="29">
        <f t="shared" si="20"/>
        <v>19.005000000000006</v>
      </c>
      <c r="B1061" s="41" t="s">
        <v>727</v>
      </c>
      <c r="C1061" s="44" t="s">
        <v>177</v>
      </c>
      <c r="D1061" s="45">
        <v>2</v>
      </c>
    </row>
    <row r="1062" spans="1:4" ht="75">
      <c r="A1062" s="29">
        <f t="shared" si="20"/>
        <v>19.006000000000007</v>
      </c>
      <c r="B1062" s="41" t="s">
        <v>729</v>
      </c>
      <c r="C1062" s="44" t="s">
        <v>177</v>
      </c>
      <c r="D1062" s="45">
        <v>6</v>
      </c>
    </row>
    <row r="1063" spans="1:4" ht="75">
      <c r="A1063" s="29">
        <f t="shared" si="20"/>
        <v>19.00700000000001</v>
      </c>
      <c r="B1063" s="41" t="s">
        <v>730</v>
      </c>
      <c r="C1063" s="44" t="s">
        <v>177</v>
      </c>
      <c r="D1063" s="45">
        <v>6</v>
      </c>
    </row>
    <row r="1064" spans="1:4" ht="30">
      <c r="A1064" s="29">
        <f t="shared" si="20"/>
        <v>19.00800000000001</v>
      </c>
      <c r="B1064" s="41" t="s">
        <v>758</v>
      </c>
      <c r="C1064" s="44" t="s">
        <v>177</v>
      </c>
      <c r="D1064" s="45">
        <v>1</v>
      </c>
    </row>
    <row r="1065" spans="1:4" ht="45">
      <c r="A1065" s="29">
        <f t="shared" si="20"/>
        <v>19.00900000000001</v>
      </c>
      <c r="B1065" s="41" t="s">
        <v>756</v>
      </c>
      <c r="C1065" s="44" t="s">
        <v>200</v>
      </c>
      <c r="D1065" s="45">
        <v>116</v>
      </c>
    </row>
    <row r="1066" spans="1:2" ht="15">
      <c r="A1066" s="29">
        <v>19</v>
      </c>
      <c r="B1066" s="21" t="s">
        <v>760</v>
      </c>
    </row>
    <row r="1067" spans="1:4" ht="60">
      <c r="A1067" s="29">
        <f>+A1066+0.001</f>
        <v>19.001</v>
      </c>
      <c r="B1067" s="41" t="s">
        <v>724</v>
      </c>
      <c r="C1067" s="44" t="s">
        <v>177</v>
      </c>
      <c r="D1067" s="45">
        <v>6</v>
      </c>
    </row>
    <row r="1068" spans="1:4" ht="75">
      <c r="A1068" s="29">
        <f aca="true" t="shared" si="21" ref="A1068:A1075">+A1067+0.001</f>
        <v>19.002000000000002</v>
      </c>
      <c r="B1068" s="41" t="s">
        <v>725</v>
      </c>
      <c r="C1068" s="44" t="s">
        <v>177</v>
      </c>
      <c r="D1068" s="45">
        <v>2</v>
      </c>
    </row>
    <row r="1069" spans="1:4" ht="30">
      <c r="A1069" s="29">
        <f t="shared" si="21"/>
        <v>19.003000000000004</v>
      </c>
      <c r="B1069" s="41" t="s">
        <v>726</v>
      </c>
      <c r="C1069" s="44" t="s">
        <v>177</v>
      </c>
      <c r="D1069" s="45">
        <f>+D1067</f>
        <v>6</v>
      </c>
    </row>
    <row r="1070" spans="1:4" ht="75">
      <c r="A1070" s="29">
        <f t="shared" si="21"/>
        <v>19.004000000000005</v>
      </c>
      <c r="B1070" s="41" t="s">
        <v>182</v>
      </c>
      <c r="C1070" s="44" t="s">
        <v>177</v>
      </c>
      <c r="D1070" s="45">
        <v>3</v>
      </c>
    </row>
    <row r="1071" spans="1:4" ht="75">
      <c r="A1071" s="29">
        <f t="shared" si="21"/>
        <v>19.005000000000006</v>
      </c>
      <c r="B1071" s="41" t="s">
        <v>727</v>
      </c>
      <c r="C1071" s="44" t="s">
        <v>177</v>
      </c>
      <c r="D1071" s="45">
        <v>1</v>
      </c>
    </row>
    <row r="1072" spans="1:4" ht="75">
      <c r="A1072" s="29">
        <f t="shared" si="21"/>
        <v>19.006000000000007</v>
      </c>
      <c r="B1072" s="41" t="s">
        <v>729</v>
      </c>
      <c r="C1072" s="44" t="s">
        <v>177</v>
      </c>
      <c r="D1072" s="45">
        <v>10</v>
      </c>
    </row>
    <row r="1073" spans="1:4" ht="75">
      <c r="A1073" s="29">
        <f t="shared" si="21"/>
        <v>19.00700000000001</v>
      </c>
      <c r="B1073" s="41" t="s">
        <v>730</v>
      </c>
      <c r="C1073" s="44" t="s">
        <v>177</v>
      </c>
      <c r="D1073" s="45">
        <v>6</v>
      </c>
    </row>
    <row r="1074" spans="1:4" ht="30">
      <c r="A1074" s="29">
        <f t="shared" si="21"/>
        <v>19.00800000000001</v>
      </c>
      <c r="B1074" s="41" t="s">
        <v>758</v>
      </c>
      <c r="C1074" s="44" t="s">
        <v>177</v>
      </c>
      <c r="D1074" s="45">
        <v>1</v>
      </c>
    </row>
    <row r="1075" spans="1:4" ht="45">
      <c r="A1075" s="29">
        <f t="shared" si="21"/>
        <v>19.00900000000001</v>
      </c>
      <c r="B1075" s="41" t="s">
        <v>756</v>
      </c>
      <c r="C1075" s="44" t="s">
        <v>200</v>
      </c>
      <c r="D1075" s="45">
        <v>132</v>
      </c>
    </row>
    <row r="1076" spans="1:2" ht="15">
      <c r="A1076" s="29">
        <v>20</v>
      </c>
      <c r="B1076" s="21" t="s">
        <v>761</v>
      </c>
    </row>
    <row r="1077" spans="1:4" ht="60">
      <c r="A1077" s="29">
        <f>+A1076+0.001</f>
        <v>20.001</v>
      </c>
      <c r="B1077" s="41" t="s">
        <v>724</v>
      </c>
      <c r="C1077" s="44" t="s">
        <v>177</v>
      </c>
      <c r="D1077" s="45">
        <v>10</v>
      </c>
    </row>
    <row r="1078" spans="1:4" ht="75">
      <c r="A1078" s="29">
        <f aca="true" t="shared" si="22" ref="A1078:A1085">+A1077+0.001</f>
        <v>20.002000000000002</v>
      </c>
      <c r="B1078" s="41" t="s">
        <v>725</v>
      </c>
      <c r="C1078" s="44" t="s">
        <v>177</v>
      </c>
      <c r="D1078" s="45">
        <v>4</v>
      </c>
    </row>
    <row r="1079" spans="1:4" ht="30">
      <c r="A1079" s="29">
        <f t="shared" si="22"/>
        <v>20.003000000000004</v>
      </c>
      <c r="B1079" s="41" t="s">
        <v>726</v>
      </c>
      <c r="C1079" s="44" t="s">
        <v>177</v>
      </c>
      <c r="D1079" s="45">
        <f>+D1077</f>
        <v>10</v>
      </c>
    </row>
    <row r="1080" spans="1:4" ht="75">
      <c r="A1080" s="29">
        <f t="shared" si="22"/>
        <v>20.004000000000005</v>
      </c>
      <c r="B1080" s="41" t="s">
        <v>182</v>
      </c>
      <c r="C1080" s="44" t="s">
        <v>177</v>
      </c>
      <c r="D1080" s="45">
        <v>4</v>
      </c>
    </row>
    <row r="1081" spans="1:4" ht="75">
      <c r="A1081" s="29">
        <f t="shared" si="22"/>
        <v>20.005000000000006</v>
      </c>
      <c r="B1081" s="41" t="s">
        <v>727</v>
      </c>
      <c r="C1081" s="44" t="s">
        <v>177</v>
      </c>
      <c r="D1081" s="45">
        <v>1</v>
      </c>
    </row>
    <row r="1082" spans="1:4" ht="75">
      <c r="A1082" s="29">
        <f t="shared" si="22"/>
        <v>20.006000000000007</v>
      </c>
      <c r="B1082" s="41" t="s">
        <v>729</v>
      </c>
      <c r="C1082" s="44" t="s">
        <v>177</v>
      </c>
      <c r="D1082" s="45">
        <v>6</v>
      </c>
    </row>
    <row r="1083" spans="1:4" ht="75">
      <c r="A1083" s="29">
        <f t="shared" si="22"/>
        <v>20.00700000000001</v>
      </c>
      <c r="B1083" s="41" t="s">
        <v>730</v>
      </c>
      <c r="C1083" s="44" t="s">
        <v>177</v>
      </c>
      <c r="D1083" s="45">
        <v>8</v>
      </c>
    </row>
    <row r="1084" spans="1:4" ht="30">
      <c r="A1084" s="29">
        <f t="shared" si="22"/>
        <v>20.00800000000001</v>
      </c>
      <c r="B1084" s="41" t="s">
        <v>758</v>
      </c>
      <c r="C1084" s="44" t="s">
        <v>177</v>
      </c>
      <c r="D1084" s="45">
        <v>1</v>
      </c>
    </row>
    <row r="1085" spans="1:4" ht="45">
      <c r="A1085" s="29">
        <f t="shared" si="22"/>
        <v>20.00900000000001</v>
      </c>
      <c r="B1085" s="41" t="s">
        <v>756</v>
      </c>
      <c r="C1085" s="44" t="s">
        <v>11</v>
      </c>
      <c r="D1085" s="45">
        <v>86</v>
      </c>
    </row>
    <row r="1086" ht="15">
      <c r="A1086" s="29"/>
    </row>
    <row r="1087" spans="1:2" ht="15">
      <c r="A1087" s="29">
        <v>21</v>
      </c>
      <c r="B1087" s="21" t="s">
        <v>22</v>
      </c>
    </row>
    <row r="1088" spans="1:4" ht="30">
      <c r="A1088" s="29">
        <f aca="true" t="shared" si="23" ref="A1088:A1095">+A1087+0.001</f>
        <v>21.001</v>
      </c>
      <c r="B1088" s="41" t="s">
        <v>766</v>
      </c>
      <c r="C1088" s="44" t="s">
        <v>13</v>
      </c>
      <c r="D1088" s="45">
        <v>4</v>
      </c>
    </row>
    <row r="1089" spans="1:4" ht="30">
      <c r="A1089" s="29">
        <f t="shared" si="23"/>
        <v>21.002000000000002</v>
      </c>
      <c r="B1089" s="41" t="s">
        <v>763</v>
      </c>
      <c r="C1089" s="44" t="s">
        <v>13</v>
      </c>
      <c r="D1089" s="45">
        <v>12</v>
      </c>
    </row>
    <row r="1090" spans="1:4" ht="60">
      <c r="A1090" s="29">
        <f t="shared" si="23"/>
        <v>21.003000000000004</v>
      </c>
      <c r="B1090" s="41" t="s">
        <v>768</v>
      </c>
      <c r="C1090" s="44" t="s">
        <v>13</v>
      </c>
      <c r="D1090" s="45">
        <v>14</v>
      </c>
    </row>
    <row r="1091" spans="1:4" ht="30">
      <c r="A1091" s="29">
        <f t="shared" si="23"/>
        <v>21.004000000000005</v>
      </c>
      <c r="B1091" s="41" t="s">
        <v>769</v>
      </c>
      <c r="C1091" s="44" t="s">
        <v>177</v>
      </c>
      <c r="D1091" s="45">
        <f>+D1090</f>
        <v>14</v>
      </c>
    </row>
    <row r="1092" spans="1:4" ht="30">
      <c r="A1092" s="29">
        <f t="shared" si="23"/>
        <v>21.005000000000006</v>
      </c>
      <c r="B1092" s="41" t="s">
        <v>764</v>
      </c>
      <c r="C1092" s="44" t="s">
        <v>13</v>
      </c>
      <c r="D1092" s="45">
        <v>6</v>
      </c>
    </row>
    <row r="1093" spans="1:4" ht="45">
      <c r="A1093" s="29">
        <f t="shared" si="23"/>
        <v>21.006000000000007</v>
      </c>
      <c r="B1093" s="41" t="s">
        <v>765</v>
      </c>
      <c r="C1093" s="44" t="s">
        <v>11</v>
      </c>
      <c r="D1093" s="45">
        <v>68</v>
      </c>
    </row>
    <row r="1094" spans="1:4" ht="45">
      <c r="A1094" s="29">
        <f t="shared" si="23"/>
        <v>21.00700000000001</v>
      </c>
      <c r="B1094" s="41" t="s">
        <v>765</v>
      </c>
      <c r="C1094" s="44" t="s">
        <v>11</v>
      </c>
      <c r="D1094" s="45">
        <v>63</v>
      </c>
    </row>
    <row r="1095" spans="1:4" ht="15">
      <c r="A1095" s="29">
        <f t="shared" si="23"/>
        <v>21.00800000000001</v>
      </c>
      <c r="B1095" s="41" t="s">
        <v>767</v>
      </c>
      <c r="C1095" s="44" t="s">
        <v>12</v>
      </c>
      <c r="D1095" s="45">
        <v>1</v>
      </c>
    </row>
    <row r="1096" ht="15.75" thickBot="1">
      <c r="A1096" s="29"/>
    </row>
    <row r="1097" spans="1:7" ht="15.75" thickBot="1">
      <c r="A1097" s="29"/>
      <c r="C1097" s="68" t="s">
        <v>770</v>
      </c>
      <c r="D1097" s="69"/>
      <c r="E1097" s="69"/>
      <c r="F1097" s="70"/>
      <c r="G1097" s="63">
        <f>SUM(F1010:F1096)</f>
        <v>0</v>
      </c>
    </row>
    <row r="1098" ht="15.75" thickBot="1">
      <c r="A1098" s="29"/>
    </row>
    <row r="1099" spans="1:7" ht="18.75" customHeight="1" thickBot="1">
      <c r="A1099" s="29"/>
      <c r="C1099" s="68" t="s">
        <v>415</v>
      </c>
      <c r="D1099" s="69"/>
      <c r="E1099" s="69"/>
      <c r="F1099" s="70"/>
      <c r="G1099" s="63">
        <f>SUM(G24:G1098)</f>
        <v>0</v>
      </c>
    </row>
    <row r="1100" spans="1:7" ht="18.75" customHeight="1" thickBot="1">
      <c r="A1100" s="29"/>
      <c r="C1100" s="30"/>
      <c r="D1100" s="30"/>
      <c r="E1100" s="30"/>
      <c r="F1100" s="30"/>
      <c r="G1100" s="30"/>
    </row>
    <row r="1101" ht="15.75" thickBot="1">
      <c r="B1101" s="11" t="s">
        <v>416</v>
      </c>
    </row>
    <row r="1102" spans="2:7" ht="15">
      <c r="B1102" s="41" t="s">
        <v>417</v>
      </c>
      <c r="C1102" s="46"/>
      <c r="G1102" s="43">
        <f>+G1099*C1102</f>
        <v>0</v>
      </c>
    </row>
    <row r="1103" spans="2:7" ht="15">
      <c r="B1103" s="41" t="s">
        <v>418</v>
      </c>
      <c r="C1103" s="46"/>
      <c r="G1103" s="43">
        <f>+G1099*C1103</f>
        <v>0</v>
      </c>
    </row>
    <row r="1104" spans="2:7" ht="15">
      <c r="B1104" s="41" t="s">
        <v>419</v>
      </c>
      <c r="C1104" s="46"/>
      <c r="G1104" s="43">
        <f>+G1099*C1104</f>
        <v>0</v>
      </c>
    </row>
    <row r="1105" spans="2:7" ht="15">
      <c r="B1105" s="41" t="s">
        <v>420</v>
      </c>
      <c r="C1105" s="46">
        <v>0.045</v>
      </c>
      <c r="G1105" s="43">
        <f>+G1099*C1105</f>
        <v>0</v>
      </c>
    </row>
    <row r="1106" spans="2:7" ht="15">
      <c r="B1106" s="41" t="s">
        <v>421</v>
      </c>
      <c r="C1106" s="46">
        <v>0.05</v>
      </c>
      <c r="G1106" s="43">
        <f>+G1099*C1106</f>
        <v>0</v>
      </c>
    </row>
    <row r="1107" spans="2:7" ht="15">
      <c r="B1107" s="41" t="s">
        <v>422</v>
      </c>
      <c r="C1107" s="46">
        <v>0.001</v>
      </c>
      <c r="G1107" s="43">
        <f>+G1099*C1107</f>
        <v>0</v>
      </c>
    </row>
    <row r="1108" ht="15">
      <c r="C1108" s="46"/>
    </row>
    <row r="1109" spans="2:7" ht="15">
      <c r="B1109" s="41" t="s">
        <v>423</v>
      </c>
      <c r="C1109" s="46">
        <v>0.18</v>
      </c>
      <c r="G1109" s="43">
        <f>+G1102*C1109</f>
        <v>0</v>
      </c>
    </row>
    <row r="1110" ht="15.75" thickBot="1"/>
    <row r="1111" spans="3:7" ht="18" customHeight="1" thickBot="1">
      <c r="C1111" s="73" t="s">
        <v>424</v>
      </c>
      <c r="D1111" s="74"/>
      <c r="E1111" s="74"/>
      <c r="F1111" s="75"/>
      <c r="G1111" s="64">
        <f>SUM(G1101:G1109)</f>
        <v>0</v>
      </c>
    </row>
    <row r="1114" ht="15.75" thickBot="1"/>
    <row r="1115" spans="3:7" ht="25.5" customHeight="1" thickBot="1">
      <c r="C1115" s="76" t="s">
        <v>425</v>
      </c>
      <c r="D1115" s="77"/>
      <c r="E1115" s="77"/>
      <c r="F1115" s="78"/>
      <c r="G1115" s="65">
        <f>+G1099+G1111</f>
        <v>0</v>
      </c>
    </row>
  </sheetData>
  <sheetProtection/>
  <mergeCells count="39">
    <mergeCell ref="A5:G5"/>
    <mergeCell ref="E108:F108"/>
    <mergeCell ref="A1:G1"/>
    <mergeCell ref="A3:G3"/>
    <mergeCell ref="E157:F157"/>
    <mergeCell ref="A7:G7"/>
    <mergeCell ref="A4:G4"/>
    <mergeCell ref="A2:G2"/>
    <mergeCell ref="A9:G9"/>
    <mergeCell ref="A8:G8"/>
    <mergeCell ref="A18:G18"/>
    <mergeCell ref="E87:F87"/>
    <mergeCell ref="A20:G20"/>
    <mergeCell ref="E29:F29"/>
    <mergeCell ref="A14:A15"/>
    <mergeCell ref="B14:B15"/>
    <mergeCell ref="C14:C15"/>
    <mergeCell ref="A11:G11"/>
    <mergeCell ref="F12:G12"/>
    <mergeCell ref="E40:F40"/>
    <mergeCell ref="D14:D15"/>
    <mergeCell ref="E543:F543"/>
    <mergeCell ref="E72:F72"/>
    <mergeCell ref="A17:G17"/>
    <mergeCell ref="A19:G19"/>
    <mergeCell ref="E134:F134"/>
    <mergeCell ref="A21:G21"/>
    <mergeCell ref="E167:F167"/>
    <mergeCell ref="E625:F625"/>
    <mergeCell ref="E645:F645"/>
    <mergeCell ref="E349:F349"/>
    <mergeCell ref="E920:F920"/>
    <mergeCell ref="E458:F458"/>
    <mergeCell ref="C1097:F1097"/>
    <mergeCell ref="E1000:F1000"/>
    <mergeCell ref="E1004:F1004"/>
    <mergeCell ref="C1111:F1111"/>
    <mergeCell ref="C1099:F1099"/>
    <mergeCell ref="C1115:F1115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portrait" scale="75" r:id="rId2"/>
  <ignoredErrors>
    <ignoredError sqref="D89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1083"/>
  <sheetViews>
    <sheetView showGridLines="0" zoomScalePageLayoutView="0" workbookViewId="0" topLeftCell="A1">
      <selection activeCell="F12" sqref="F12:G12"/>
    </sheetView>
  </sheetViews>
  <sheetFormatPr defaultColWidth="11.421875" defaultRowHeight="15"/>
  <cols>
    <col min="1" max="1" width="6.421875" style="40" bestFit="1" customWidth="1"/>
    <col min="2" max="2" width="62.28125" style="41" customWidth="1"/>
    <col min="3" max="3" width="9.421875" style="44" customWidth="1"/>
    <col min="4" max="4" width="12.28125" style="45" customWidth="1"/>
    <col min="5" max="5" width="13.140625" style="45" customWidth="1"/>
    <col min="6" max="6" width="15.28125" style="45" customWidth="1"/>
    <col min="7" max="7" width="18.8515625" style="43" customWidth="1"/>
    <col min="8" max="16384" width="11.421875" style="30" customWidth="1"/>
  </cols>
  <sheetData>
    <row r="1" spans="1:7" ht="21">
      <c r="A1" s="107" t="s">
        <v>301</v>
      </c>
      <c r="B1" s="108"/>
      <c r="C1" s="108"/>
      <c r="D1" s="108"/>
      <c r="E1" s="108"/>
      <c r="F1" s="108"/>
      <c r="G1" s="109"/>
    </row>
    <row r="2" spans="1:7" ht="18.75">
      <c r="A2" s="119" t="s">
        <v>56</v>
      </c>
      <c r="B2" s="120"/>
      <c r="C2" s="120"/>
      <c r="D2" s="120"/>
      <c r="E2" s="120"/>
      <c r="F2" s="120"/>
      <c r="G2" s="121"/>
    </row>
    <row r="3" spans="1:7" ht="15.75">
      <c r="A3" s="110" t="s">
        <v>57</v>
      </c>
      <c r="B3" s="111"/>
      <c r="C3" s="111"/>
      <c r="D3" s="111"/>
      <c r="E3" s="111"/>
      <c r="F3" s="111"/>
      <c r="G3" s="112"/>
    </row>
    <row r="4" spans="1:7" ht="21">
      <c r="A4" s="116" t="s">
        <v>302</v>
      </c>
      <c r="B4" s="117"/>
      <c r="C4" s="117"/>
      <c r="D4" s="117"/>
      <c r="E4" s="117"/>
      <c r="F4" s="117"/>
      <c r="G4" s="118"/>
    </row>
    <row r="5" spans="1:7" ht="15.75">
      <c r="A5" s="104" t="s">
        <v>393</v>
      </c>
      <c r="B5" s="105"/>
      <c r="C5" s="105"/>
      <c r="D5" s="105"/>
      <c r="E5" s="105"/>
      <c r="F5" s="105"/>
      <c r="G5" s="106"/>
    </row>
    <row r="6" spans="1:7" ht="15">
      <c r="A6" s="31"/>
      <c r="B6" s="32"/>
      <c r="C6" s="33"/>
      <c r="D6" s="34"/>
      <c r="E6" s="34"/>
      <c r="F6" s="34"/>
      <c r="G6" s="35"/>
    </row>
    <row r="7" spans="1:7" ht="18.75" customHeight="1">
      <c r="A7" s="113" t="s">
        <v>686</v>
      </c>
      <c r="B7" s="114"/>
      <c r="C7" s="114"/>
      <c r="D7" s="114"/>
      <c r="E7" s="114"/>
      <c r="F7" s="114"/>
      <c r="G7" s="115"/>
    </row>
    <row r="8" spans="1:7" ht="15" customHeight="1">
      <c r="A8" s="122" t="s">
        <v>303</v>
      </c>
      <c r="B8" s="123"/>
      <c r="C8" s="123"/>
      <c r="D8" s="123"/>
      <c r="E8" s="123"/>
      <c r="F8" s="123"/>
      <c r="G8" s="124"/>
    </row>
    <row r="9" spans="1:7" ht="15" customHeight="1">
      <c r="A9" s="122" t="s">
        <v>17</v>
      </c>
      <c r="B9" s="123"/>
      <c r="C9" s="123"/>
      <c r="D9" s="123"/>
      <c r="E9" s="123"/>
      <c r="F9" s="123"/>
      <c r="G9" s="124"/>
    </row>
    <row r="10" spans="1:7" ht="15">
      <c r="A10" s="31"/>
      <c r="B10" s="32"/>
      <c r="C10" s="33"/>
      <c r="D10" s="34"/>
      <c r="E10" s="34"/>
      <c r="F10" s="34"/>
      <c r="G10" s="35"/>
    </row>
    <row r="11" spans="1:7" ht="23.25">
      <c r="A11" s="79" t="s">
        <v>452</v>
      </c>
      <c r="B11" s="80"/>
      <c r="C11" s="80"/>
      <c r="D11" s="80"/>
      <c r="E11" s="80"/>
      <c r="F11" s="80"/>
      <c r="G11" s="81"/>
    </row>
    <row r="12" spans="1:7" ht="15.75" thickBot="1">
      <c r="A12" s="36"/>
      <c r="B12" s="37"/>
      <c r="C12" s="38"/>
      <c r="D12" s="39"/>
      <c r="E12" s="39"/>
      <c r="F12" s="82"/>
      <c r="G12" s="83"/>
    </row>
    <row r="13" spans="3:6" ht="15.75" thickBot="1">
      <c r="C13" s="42"/>
      <c r="D13" s="43"/>
      <c r="E13" s="43"/>
      <c r="F13" s="43"/>
    </row>
    <row r="14" spans="1:7" s="42" customFormat="1" ht="15">
      <c r="A14" s="100" t="s">
        <v>1</v>
      </c>
      <c r="B14" s="102" t="s">
        <v>2</v>
      </c>
      <c r="C14" s="102" t="s">
        <v>3</v>
      </c>
      <c r="D14" s="86" t="s">
        <v>4</v>
      </c>
      <c r="E14" s="1" t="s">
        <v>5</v>
      </c>
      <c r="F14" s="1" t="s">
        <v>6</v>
      </c>
      <c r="G14" s="2" t="s">
        <v>7</v>
      </c>
    </row>
    <row r="15" spans="1:7" s="42" customFormat="1" ht="15.75" thickBot="1">
      <c r="A15" s="101"/>
      <c r="B15" s="103"/>
      <c r="C15" s="103"/>
      <c r="D15" s="87"/>
      <c r="E15" s="3" t="s">
        <v>8</v>
      </c>
      <c r="F15" s="3" t="s">
        <v>9</v>
      </c>
      <c r="G15" s="4" t="s">
        <v>9</v>
      </c>
    </row>
    <row r="16" spans="1:7" s="5" customFormat="1" ht="13.5" thickBot="1">
      <c r="A16" s="27"/>
      <c r="B16" s="6"/>
      <c r="C16" s="7"/>
      <c r="D16" s="8"/>
      <c r="E16" s="8"/>
      <c r="F16" s="9"/>
      <c r="G16" s="10"/>
    </row>
    <row r="17" spans="1:7" s="5" customFormat="1" ht="20.25" customHeight="1">
      <c r="A17" s="88" t="s">
        <v>392</v>
      </c>
      <c r="B17" s="89"/>
      <c r="C17" s="89"/>
      <c r="D17" s="89"/>
      <c r="E17" s="89"/>
      <c r="F17" s="89"/>
      <c r="G17" s="90"/>
    </row>
    <row r="18" spans="1:7" s="5" customFormat="1" ht="20.25" customHeight="1">
      <c r="A18" s="97" t="s">
        <v>391</v>
      </c>
      <c r="B18" s="98"/>
      <c r="C18" s="98"/>
      <c r="D18" s="98"/>
      <c r="E18" s="98"/>
      <c r="F18" s="98"/>
      <c r="G18" s="99"/>
    </row>
    <row r="19" spans="1:7" s="5" customFormat="1" ht="21" customHeight="1">
      <c r="A19" s="91" t="s">
        <v>389</v>
      </c>
      <c r="B19" s="92"/>
      <c r="C19" s="92"/>
      <c r="D19" s="92"/>
      <c r="E19" s="92"/>
      <c r="F19" s="92"/>
      <c r="G19" s="93"/>
    </row>
    <row r="20" spans="1:7" s="5" customFormat="1" ht="25.5" customHeight="1">
      <c r="A20" s="91" t="s">
        <v>390</v>
      </c>
      <c r="B20" s="92"/>
      <c r="C20" s="92"/>
      <c r="D20" s="92"/>
      <c r="E20" s="92"/>
      <c r="F20" s="92"/>
      <c r="G20" s="93"/>
    </row>
    <row r="21" spans="1:7" s="5" customFormat="1" ht="25.5" customHeight="1" thickBot="1">
      <c r="A21" s="94"/>
      <c r="B21" s="95"/>
      <c r="C21" s="95"/>
      <c r="D21" s="95"/>
      <c r="E21" s="95"/>
      <c r="F21" s="95"/>
      <c r="G21" s="96"/>
    </row>
    <row r="22" spans="1:7" s="5" customFormat="1" ht="13.5" thickBot="1">
      <c r="A22" s="27"/>
      <c r="B22" s="6"/>
      <c r="C22" s="7"/>
      <c r="D22" s="8"/>
      <c r="E22" s="8"/>
      <c r="F22" s="9"/>
      <c r="G22" s="10"/>
    </row>
    <row r="23" spans="1:7" s="5" customFormat="1" ht="16.5" thickBot="1">
      <c r="A23" s="28">
        <v>1</v>
      </c>
      <c r="B23" s="61" t="s">
        <v>14</v>
      </c>
      <c r="C23" s="12"/>
      <c r="D23" s="13"/>
      <c r="E23" s="13"/>
      <c r="F23" s="13"/>
      <c r="G23" s="14"/>
    </row>
    <row r="24" spans="1:7" s="5" customFormat="1" ht="12.75">
      <c r="A24" s="29">
        <f>+A23+0.01</f>
        <v>1.01</v>
      </c>
      <c r="B24" s="15" t="s">
        <v>18</v>
      </c>
      <c r="C24" s="12" t="s">
        <v>12</v>
      </c>
      <c r="D24" s="13">
        <v>1</v>
      </c>
      <c r="E24" s="13"/>
      <c r="F24" s="13"/>
      <c r="G24" s="14"/>
    </row>
    <row r="25" spans="1:7" s="5" customFormat="1" ht="25.5">
      <c r="A25" s="29">
        <f>+A24+0.01</f>
        <v>1.02</v>
      </c>
      <c r="B25" s="15" t="s">
        <v>77</v>
      </c>
      <c r="C25" s="12" t="s">
        <v>12</v>
      </c>
      <c r="D25" s="13">
        <v>1</v>
      </c>
      <c r="E25" s="13"/>
      <c r="F25" s="13"/>
      <c r="G25" s="14"/>
    </row>
    <row r="26" spans="1:7" s="5" customFormat="1" ht="12.75">
      <c r="A26" s="29">
        <f>+A25+0.01</f>
        <v>1.03</v>
      </c>
      <c r="B26" s="15" t="s">
        <v>448</v>
      </c>
      <c r="C26" s="12" t="s">
        <v>12</v>
      </c>
      <c r="D26" s="13">
        <v>1</v>
      </c>
      <c r="E26" s="13"/>
      <c r="F26" s="13"/>
      <c r="G26" s="14"/>
    </row>
    <row r="27" spans="1:7" s="5" customFormat="1" ht="12.75">
      <c r="A27" s="29">
        <f>+A26+0.01</f>
        <v>1.04</v>
      </c>
      <c r="B27" s="15" t="s">
        <v>20</v>
      </c>
      <c r="C27" s="12" t="s">
        <v>12</v>
      </c>
      <c r="D27" s="13">
        <v>1</v>
      </c>
      <c r="E27" s="13"/>
      <c r="F27" s="13"/>
      <c r="G27" s="14"/>
    </row>
    <row r="28" spans="1:7" s="5" customFormat="1" ht="13.5" thickBot="1">
      <c r="A28" s="29"/>
      <c r="B28" s="15"/>
      <c r="C28" s="12"/>
      <c r="D28" s="13"/>
      <c r="E28" s="13"/>
      <c r="F28" s="13"/>
      <c r="G28" s="14"/>
    </row>
    <row r="29" spans="1:7" s="5" customFormat="1" ht="13.5" thickBot="1">
      <c r="A29" s="29"/>
      <c r="B29" s="15"/>
      <c r="C29" s="12"/>
      <c r="D29" s="13"/>
      <c r="E29" s="84" t="str">
        <f>+B23</f>
        <v>PRELIMINARES </v>
      </c>
      <c r="F29" s="85"/>
      <c r="G29" s="16">
        <f>SUM(F22:F28)</f>
        <v>0</v>
      </c>
    </row>
    <row r="30" spans="1:7" s="5" customFormat="1" ht="13.5" thickBot="1">
      <c r="A30" s="29"/>
      <c r="B30" s="15"/>
      <c r="C30" s="12"/>
      <c r="D30" s="13"/>
      <c r="E30" s="13"/>
      <c r="F30" s="13"/>
      <c r="G30" s="14"/>
    </row>
    <row r="31" spans="1:7" s="5" customFormat="1" ht="16.5" thickBot="1">
      <c r="A31" s="28">
        <v>2</v>
      </c>
      <c r="B31" s="61" t="s">
        <v>21</v>
      </c>
      <c r="C31" s="12"/>
      <c r="D31" s="13"/>
      <c r="E31" s="13"/>
      <c r="F31" s="13"/>
      <c r="G31" s="14"/>
    </row>
    <row r="32" spans="1:7" s="5" customFormat="1" ht="12.75">
      <c r="A32" s="29">
        <f aca="true" t="shared" si="0" ref="A32:A38">+A31+0.01</f>
        <v>2.01</v>
      </c>
      <c r="B32" s="15" t="s">
        <v>94</v>
      </c>
      <c r="C32" s="12" t="s">
        <v>15</v>
      </c>
      <c r="D32" s="13">
        <v>1625</v>
      </c>
      <c r="E32" s="13"/>
      <c r="F32" s="13"/>
      <c r="G32" s="14"/>
    </row>
    <row r="33" spans="1:7" s="5" customFormat="1" ht="12.75">
      <c r="A33" s="29">
        <f t="shared" si="0"/>
        <v>2.0199999999999996</v>
      </c>
      <c r="B33" s="15" t="s">
        <v>95</v>
      </c>
      <c r="C33" s="12" t="s">
        <v>15</v>
      </c>
      <c r="D33" s="13">
        <v>3464.5</v>
      </c>
      <c r="E33" s="13"/>
      <c r="F33" s="13"/>
      <c r="G33" s="14"/>
    </row>
    <row r="34" spans="1:7" s="5" customFormat="1" ht="12.75">
      <c r="A34" s="29">
        <f t="shared" si="0"/>
        <v>2.0299999999999994</v>
      </c>
      <c r="B34" s="15" t="s">
        <v>96</v>
      </c>
      <c r="C34" s="12" t="s">
        <v>50</v>
      </c>
      <c r="D34" s="13">
        <v>4157.4</v>
      </c>
      <c r="E34" s="13"/>
      <c r="F34" s="13"/>
      <c r="G34" s="14"/>
    </row>
    <row r="35" spans="1:7" s="5" customFormat="1" ht="12.75">
      <c r="A35" s="29">
        <f t="shared" si="0"/>
        <v>2.039999999999999</v>
      </c>
      <c r="B35" s="15" t="s">
        <v>437</v>
      </c>
      <c r="C35" s="12" t="s">
        <v>93</v>
      </c>
      <c r="D35" s="13">
        <v>51967.5</v>
      </c>
      <c r="E35" s="13"/>
      <c r="F35" s="13"/>
      <c r="G35" s="14"/>
    </row>
    <row r="36" spans="1:7" s="5" customFormat="1" ht="12.75">
      <c r="A36" s="29">
        <f t="shared" si="0"/>
        <v>2.049999999999999</v>
      </c>
      <c r="B36" s="15" t="s">
        <v>25</v>
      </c>
      <c r="C36" s="12" t="s">
        <v>438</v>
      </c>
      <c r="D36" s="13">
        <v>4157.4</v>
      </c>
      <c r="E36" s="13"/>
      <c r="F36" s="13"/>
      <c r="G36" s="14"/>
    </row>
    <row r="37" spans="1:7" s="5" customFormat="1" ht="12.75">
      <c r="A37" s="29">
        <f t="shared" si="0"/>
        <v>2.0599999999999987</v>
      </c>
      <c r="B37" s="15" t="s">
        <v>26</v>
      </c>
      <c r="C37" s="12" t="s">
        <v>16</v>
      </c>
      <c r="D37" s="13">
        <v>1300</v>
      </c>
      <c r="E37" s="13"/>
      <c r="F37" s="13"/>
      <c r="G37" s="14"/>
    </row>
    <row r="38" spans="1:7" s="5" customFormat="1" ht="12.75">
      <c r="A38" s="29">
        <f t="shared" si="0"/>
        <v>2.0699999999999985</v>
      </c>
      <c r="B38" s="15" t="s">
        <v>688</v>
      </c>
      <c r="C38" s="12" t="s">
        <v>50</v>
      </c>
      <c r="D38" s="13">
        <f>+(D32+D33-D37)*1.35</f>
        <v>5115.825000000001</v>
      </c>
      <c r="E38" s="13"/>
      <c r="F38" s="13"/>
      <c r="G38" s="14"/>
    </row>
    <row r="39" spans="1:7" s="5" customFormat="1" ht="13.5" thickBot="1">
      <c r="A39" s="29"/>
      <c r="B39" s="15"/>
      <c r="C39" s="12"/>
      <c r="D39" s="13"/>
      <c r="E39" s="13"/>
      <c r="F39" s="13"/>
      <c r="G39" s="14"/>
    </row>
    <row r="40" spans="1:7" s="5" customFormat="1" ht="13.5" thickBot="1">
      <c r="A40" s="29"/>
      <c r="B40" s="15"/>
      <c r="C40" s="12"/>
      <c r="D40" s="13"/>
      <c r="E40" s="84" t="str">
        <f>+B31</f>
        <v>ACONDICIONAMIENTO DE TERRENO</v>
      </c>
      <c r="F40" s="85"/>
      <c r="G40" s="16">
        <f>SUM(F31:F37)</f>
        <v>0</v>
      </c>
    </row>
    <row r="41" spans="1:7" s="5" customFormat="1" ht="13.5" thickBot="1">
      <c r="A41" s="29"/>
      <c r="B41" s="15"/>
      <c r="C41" s="12"/>
      <c r="D41" s="13"/>
      <c r="E41" s="13"/>
      <c r="F41" s="13"/>
      <c r="G41" s="14"/>
    </row>
    <row r="42" spans="1:7" s="5" customFormat="1" ht="16.5" thickBot="1">
      <c r="A42" s="28">
        <v>2</v>
      </c>
      <c r="B42" s="61" t="s">
        <v>626</v>
      </c>
      <c r="C42" s="12"/>
      <c r="D42" s="13"/>
      <c r="E42" s="13"/>
      <c r="F42" s="13"/>
      <c r="G42" s="14"/>
    </row>
    <row r="43" spans="1:7" s="5" customFormat="1" ht="25.5">
      <c r="A43" s="29">
        <f>+A42+0.01</f>
        <v>2.01</v>
      </c>
      <c r="B43" s="15" t="s">
        <v>387</v>
      </c>
      <c r="C43" s="12" t="s">
        <v>13</v>
      </c>
      <c r="D43" s="13">
        <v>1</v>
      </c>
      <c r="E43" s="13"/>
      <c r="F43" s="13"/>
      <c r="G43" s="14"/>
    </row>
    <row r="44" spans="1:7" s="5" customFormat="1" ht="12.75">
      <c r="A44" s="29">
        <f aca="true" t="shared" si="1" ref="A44:A69">+A43+0.01</f>
        <v>2.0199999999999996</v>
      </c>
      <c r="B44" s="17" t="s">
        <v>32</v>
      </c>
      <c r="C44" s="12" t="s">
        <v>13</v>
      </c>
      <c r="D44" s="13">
        <v>1</v>
      </c>
      <c r="E44" s="13"/>
      <c r="F44" s="13"/>
      <c r="G44" s="14"/>
    </row>
    <row r="45" spans="1:7" s="5" customFormat="1" ht="12.75">
      <c r="A45" s="29">
        <f t="shared" si="1"/>
        <v>2.0299999999999994</v>
      </c>
      <c r="B45" s="15" t="s">
        <v>23</v>
      </c>
      <c r="C45" s="12" t="s">
        <v>13</v>
      </c>
      <c r="D45" s="13">
        <v>1</v>
      </c>
      <c r="E45" s="13"/>
      <c r="F45" s="13"/>
      <c r="G45" s="14"/>
    </row>
    <row r="46" spans="1:7" s="5" customFormat="1" ht="12.75">
      <c r="A46" s="29">
        <f>+A45+0.01</f>
        <v>2.039999999999999</v>
      </c>
      <c r="B46" s="15" t="s">
        <v>33</v>
      </c>
      <c r="C46" s="12" t="s">
        <v>13</v>
      </c>
      <c r="D46" s="13">
        <v>10</v>
      </c>
      <c r="E46" s="13"/>
      <c r="F46" s="13"/>
      <c r="G46" s="14"/>
    </row>
    <row r="47" spans="1:7" s="5" customFormat="1" ht="12.75">
      <c r="A47" s="29"/>
      <c r="B47" s="67" t="s">
        <v>627</v>
      </c>
      <c r="C47" s="12"/>
      <c r="D47" s="13"/>
      <c r="E47" s="13"/>
      <c r="F47" s="13"/>
      <c r="G47" s="14"/>
    </row>
    <row r="48" spans="1:7" s="5" customFormat="1" ht="12.75">
      <c r="A48" s="29">
        <f>+A46+0.01</f>
        <v>2.049999999999999</v>
      </c>
      <c r="B48" s="15" t="s">
        <v>441</v>
      </c>
      <c r="C48" s="12" t="s">
        <v>13</v>
      </c>
      <c r="D48" s="13">
        <v>35</v>
      </c>
      <c r="E48" s="13"/>
      <c r="F48" s="13"/>
      <c r="G48" s="14"/>
    </row>
    <row r="49" spans="1:7" s="5" customFormat="1" ht="12.75">
      <c r="A49" s="29">
        <f t="shared" si="1"/>
        <v>2.0599999999999987</v>
      </c>
      <c r="B49" s="15" t="s">
        <v>426</v>
      </c>
      <c r="C49" s="12" t="s">
        <v>10</v>
      </c>
      <c r="D49" s="13">
        <v>1745.35</v>
      </c>
      <c r="E49" s="13"/>
      <c r="F49" s="13"/>
      <c r="G49" s="14"/>
    </row>
    <row r="50" spans="1:7" s="5" customFormat="1" ht="12.75">
      <c r="A50" s="29">
        <f t="shared" si="1"/>
        <v>2.0699999999999985</v>
      </c>
      <c r="B50" s="15" t="s">
        <v>35</v>
      </c>
      <c r="C50" s="12" t="s">
        <v>13</v>
      </c>
      <c r="D50" s="13">
        <v>18</v>
      </c>
      <c r="E50" s="13"/>
      <c r="F50" s="13"/>
      <c r="G50" s="14"/>
    </row>
    <row r="51" spans="1:7" s="5" customFormat="1" ht="12.75">
      <c r="A51" s="29">
        <f t="shared" si="1"/>
        <v>2.0799999999999983</v>
      </c>
      <c r="B51" s="15" t="s">
        <v>36</v>
      </c>
      <c r="C51" s="12" t="s">
        <v>13</v>
      </c>
      <c r="D51" s="13">
        <v>200</v>
      </c>
      <c r="E51" s="13"/>
      <c r="F51" s="13"/>
      <c r="G51" s="14"/>
    </row>
    <row r="52" spans="1:7" s="5" customFormat="1" ht="12.75">
      <c r="A52" s="29">
        <f t="shared" si="1"/>
        <v>2.089999999999998</v>
      </c>
      <c r="B52" s="15" t="s">
        <v>37</v>
      </c>
      <c r="C52" s="12" t="s">
        <v>13</v>
      </c>
      <c r="D52" s="13">
        <v>400</v>
      </c>
      <c r="E52" s="13"/>
      <c r="F52" s="13"/>
      <c r="G52" s="14"/>
    </row>
    <row r="53" spans="1:7" s="5" customFormat="1" ht="12.75">
      <c r="A53" s="29">
        <f t="shared" si="1"/>
        <v>2.099999999999998</v>
      </c>
      <c r="B53" s="15" t="s">
        <v>38</v>
      </c>
      <c r="C53" s="12" t="s">
        <v>19</v>
      </c>
      <c r="D53" s="13">
        <v>2</v>
      </c>
      <c r="E53" s="13"/>
      <c r="F53" s="13"/>
      <c r="G53" s="14"/>
    </row>
    <row r="54" spans="1:7" s="5" customFormat="1" ht="12.75">
      <c r="A54" s="29"/>
      <c r="B54" s="67" t="s">
        <v>628</v>
      </c>
      <c r="C54" s="12"/>
      <c r="D54" s="13"/>
      <c r="E54" s="13"/>
      <c r="F54" s="13"/>
      <c r="G54" s="14"/>
    </row>
    <row r="55" spans="1:7" s="5" customFormat="1" ht="12.75">
      <c r="A55" s="29">
        <f>+A53+0.01</f>
        <v>2.1099999999999977</v>
      </c>
      <c r="B55" s="15" t="s">
        <v>28</v>
      </c>
      <c r="C55" s="12" t="s">
        <v>13</v>
      </c>
      <c r="D55" s="13">
        <v>12</v>
      </c>
      <c r="E55" s="13"/>
      <c r="F55" s="13"/>
      <c r="G55" s="14"/>
    </row>
    <row r="56" spans="1:7" s="5" customFormat="1" ht="12.75">
      <c r="A56" s="29">
        <f t="shared" si="1"/>
        <v>2.1199999999999974</v>
      </c>
      <c r="B56" s="15" t="s">
        <v>29</v>
      </c>
      <c r="C56" s="12" t="s">
        <v>13</v>
      </c>
      <c r="D56" s="13">
        <v>24</v>
      </c>
      <c r="E56" s="13"/>
      <c r="F56" s="13"/>
      <c r="G56" s="14"/>
    </row>
    <row r="57" spans="1:7" s="5" customFormat="1" ht="25.5">
      <c r="A57" s="29">
        <f t="shared" si="1"/>
        <v>2.1299999999999972</v>
      </c>
      <c r="B57" s="15" t="s">
        <v>30</v>
      </c>
      <c r="C57" s="12" t="s">
        <v>11</v>
      </c>
      <c r="D57" s="13">
        <v>248</v>
      </c>
      <c r="E57" s="13"/>
      <c r="F57" s="13"/>
      <c r="G57" s="14"/>
    </row>
    <row r="58" spans="1:7" s="5" customFormat="1" ht="12.75">
      <c r="A58" s="29">
        <f t="shared" si="1"/>
        <v>2.139999999999997</v>
      </c>
      <c r="B58" s="15" t="s">
        <v>31</v>
      </c>
      <c r="C58" s="12" t="s">
        <v>16</v>
      </c>
      <c r="D58" s="13">
        <f>125*2*0.4</f>
        <v>100</v>
      </c>
      <c r="E58" s="13"/>
      <c r="F58" s="13"/>
      <c r="G58" s="14"/>
    </row>
    <row r="59" spans="1:7" s="5" customFormat="1" ht="12.75">
      <c r="A59" s="29">
        <f t="shared" si="1"/>
        <v>2.149999999999997</v>
      </c>
      <c r="B59" s="15" t="s">
        <v>442</v>
      </c>
      <c r="C59" s="12" t="s">
        <v>10</v>
      </c>
      <c r="D59" s="13">
        <v>372</v>
      </c>
      <c r="E59" s="13"/>
      <c r="F59" s="13"/>
      <c r="G59" s="14"/>
    </row>
    <row r="60" spans="1:7" s="5" customFormat="1" ht="12.75">
      <c r="A60" s="29">
        <f t="shared" si="1"/>
        <v>2.1599999999999966</v>
      </c>
      <c r="B60" s="15" t="s">
        <v>34</v>
      </c>
      <c r="C60" s="12" t="s">
        <v>50</v>
      </c>
      <c r="D60" s="13">
        <v>12</v>
      </c>
      <c r="E60" s="13"/>
      <c r="F60" s="13"/>
      <c r="G60" s="14"/>
    </row>
    <row r="61" spans="1:7" s="5" customFormat="1" ht="12.75">
      <c r="A61" s="29">
        <f t="shared" si="1"/>
        <v>2.1699999999999964</v>
      </c>
      <c r="B61" s="15" t="s">
        <v>39</v>
      </c>
      <c r="C61" s="12" t="s">
        <v>10</v>
      </c>
      <c r="D61" s="13">
        <v>265</v>
      </c>
      <c r="E61" s="13"/>
      <c r="F61" s="13"/>
      <c r="G61" s="14"/>
    </row>
    <row r="62" spans="1:7" s="5" customFormat="1" ht="12.75">
      <c r="A62" s="29">
        <f t="shared" si="1"/>
        <v>2.179999999999996</v>
      </c>
      <c r="B62" s="15" t="s">
        <v>84</v>
      </c>
      <c r="C62" s="12" t="s">
        <v>13</v>
      </c>
      <c r="D62" s="13">
        <v>8</v>
      </c>
      <c r="E62" s="13"/>
      <c r="F62" s="13"/>
      <c r="G62" s="14"/>
    </row>
    <row r="63" spans="1:7" s="5" customFormat="1" ht="12.75">
      <c r="A63" s="29">
        <f t="shared" si="1"/>
        <v>2.189999999999996</v>
      </c>
      <c r="B63" s="15" t="s">
        <v>85</v>
      </c>
      <c r="C63" s="12" t="s">
        <v>11</v>
      </c>
      <c r="D63" s="13">
        <v>36</v>
      </c>
      <c r="E63" s="13"/>
      <c r="F63" s="13"/>
      <c r="G63" s="14"/>
    </row>
    <row r="64" spans="1:7" s="5" customFormat="1" ht="12.75">
      <c r="A64" s="29">
        <f t="shared" si="1"/>
        <v>2.1999999999999957</v>
      </c>
      <c r="B64" s="15" t="s">
        <v>615</v>
      </c>
      <c r="C64" s="12" t="s">
        <v>11</v>
      </c>
      <c r="D64" s="13">
        <v>86</v>
      </c>
      <c r="E64" s="13"/>
      <c r="F64" s="13"/>
      <c r="G64" s="14"/>
    </row>
    <row r="65" spans="1:7" s="5" customFormat="1" ht="12.75">
      <c r="A65" s="29">
        <f t="shared" si="1"/>
        <v>2.2099999999999955</v>
      </c>
      <c r="B65" s="15" t="s">
        <v>101</v>
      </c>
      <c r="C65" s="12" t="s">
        <v>13</v>
      </c>
      <c r="D65" s="13">
        <v>5</v>
      </c>
      <c r="E65" s="13"/>
      <c r="F65" s="13"/>
      <c r="G65" s="14"/>
    </row>
    <row r="66" spans="1:7" s="5" customFormat="1" ht="25.5">
      <c r="A66" s="29">
        <f t="shared" si="1"/>
        <v>2.2199999999999953</v>
      </c>
      <c r="B66" s="15" t="s">
        <v>678</v>
      </c>
      <c r="C66" s="12" t="s">
        <v>677</v>
      </c>
      <c r="D66" s="13">
        <v>344.96</v>
      </c>
      <c r="E66" s="13"/>
      <c r="F66" s="13"/>
      <c r="G66" s="14"/>
    </row>
    <row r="67" spans="1:7" s="5" customFormat="1" ht="25.5">
      <c r="A67" s="29">
        <f t="shared" si="1"/>
        <v>2.229999999999995</v>
      </c>
      <c r="B67" s="15" t="s">
        <v>679</v>
      </c>
      <c r="C67" s="12" t="s">
        <v>677</v>
      </c>
      <c r="D67" s="13">
        <v>119.16</v>
      </c>
      <c r="E67" s="13"/>
      <c r="F67" s="13"/>
      <c r="G67" s="14"/>
    </row>
    <row r="68" spans="1:7" s="5" customFormat="1" ht="12.75">
      <c r="A68" s="29">
        <f t="shared" si="1"/>
        <v>2.239999999999995</v>
      </c>
      <c r="B68" s="15" t="s">
        <v>680</v>
      </c>
      <c r="C68" s="12" t="s">
        <v>11</v>
      </c>
      <c r="D68" s="13">
        <v>269.5</v>
      </c>
      <c r="E68" s="13"/>
      <c r="F68" s="13"/>
      <c r="G68" s="14"/>
    </row>
    <row r="69" spans="1:7" s="5" customFormat="1" ht="12.75">
      <c r="A69" s="29">
        <f t="shared" si="1"/>
        <v>2.2499999999999947</v>
      </c>
      <c r="B69" s="15" t="s">
        <v>681</v>
      </c>
      <c r="C69" s="12" t="s">
        <v>11</v>
      </c>
      <c r="D69" s="13">
        <v>398.5</v>
      </c>
      <c r="E69" s="13"/>
      <c r="F69" s="13"/>
      <c r="G69" s="14"/>
    </row>
    <row r="70" spans="1:7" s="5" customFormat="1" ht="12.75">
      <c r="A70" s="29"/>
      <c r="B70" s="15"/>
      <c r="C70" s="12"/>
      <c r="D70" s="13"/>
      <c r="E70" s="13"/>
      <c r="F70" s="13"/>
      <c r="G70" s="14"/>
    </row>
    <row r="71" spans="1:7" s="5" customFormat="1" ht="13.5" thickBot="1">
      <c r="A71" s="29"/>
      <c r="B71" s="15"/>
      <c r="C71" s="12"/>
      <c r="D71" s="13"/>
      <c r="E71" s="13"/>
      <c r="F71" s="13"/>
      <c r="G71" s="14"/>
    </row>
    <row r="72" spans="1:7" s="5" customFormat="1" ht="13.5" thickBot="1">
      <c r="A72" s="29"/>
      <c r="B72" s="15"/>
      <c r="C72" s="12"/>
      <c r="D72" s="13"/>
      <c r="E72" s="84" t="str">
        <f>+B42</f>
        <v>AREAS EXTERIORES A MODULOS</v>
      </c>
      <c r="F72" s="85"/>
      <c r="G72" s="16">
        <f>SUM(F43:F71)</f>
        <v>0</v>
      </c>
    </row>
    <row r="73" spans="1:7" s="5" customFormat="1" ht="12.75">
      <c r="A73" s="29"/>
      <c r="B73" s="15"/>
      <c r="C73" s="12"/>
      <c r="D73" s="13"/>
      <c r="E73" s="13"/>
      <c r="F73" s="13"/>
      <c r="G73" s="14"/>
    </row>
    <row r="74" spans="1:7" s="5" customFormat="1" ht="13.5" thickBot="1">
      <c r="A74" s="29"/>
      <c r="B74" s="15"/>
      <c r="C74" s="12"/>
      <c r="D74" s="13"/>
      <c r="E74" s="13"/>
      <c r="F74" s="13"/>
      <c r="G74" s="14"/>
    </row>
    <row r="75" spans="1:7" s="5" customFormat="1" ht="16.5" thickBot="1">
      <c r="A75" s="28">
        <v>3</v>
      </c>
      <c r="B75" s="61" t="s">
        <v>80</v>
      </c>
      <c r="C75" s="12"/>
      <c r="D75" s="13"/>
      <c r="E75" s="13"/>
      <c r="F75" s="13"/>
      <c r="G75" s="14"/>
    </row>
    <row r="76" spans="1:7" s="5" customFormat="1" ht="12.75">
      <c r="A76" s="29">
        <f>+A75+0.01</f>
        <v>3.01</v>
      </c>
      <c r="B76" s="15" t="s">
        <v>81</v>
      </c>
      <c r="C76" s="12" t="s">
        <v>10</v>
      </c>
      <c r="D76" s="13">
        <v>483.29999999999995</v>
      </c>
      <c r="E76" s="13"/>
      <c r="F76" s="13"/>
      <c r="G76" s="14"/>
    </row>
    <row r="77" spans="1:7" s="5" customFormat="1" ht="12.75">
      <c r="A77" s="29">
        <f aca="true" t="shared" si="2" ref="A77:A85">+A76+0.01</f>
        <v>3.0199999999999996</v>
      </c>
      <c r="B77" s="17" t="s">
        <v>82</v>
      </c>
      <c r="C77" s="12" t="s">
        <v>11</v>
      </c>
      <c r="D77" s="13">
        <v>89.8</v>
      </c>
      <c r="E77" s="13"/>
      <c r="F77" s="13"/>
      <c r="G77" s="14"/>
    </row>
    <row r="78" spans="1:7" s="5" customFormat="1" ht="25.5">
      <c r="A78" s="29">
        <f t="shared" si="2"/>
        <v>3.0299999999999994</v>
      </c>
      <c r="B78" s="15" t="s">
        <v>83</v>
      </c>
      <c r="C78" s="12" t="s">
        <v>0</v>
      </c>
      <c r="D78" s="13">
        <v>48.33</v>
      </c>
      <c r="E78" s="13"/>
      <c r="F78" s="13"/>
      <c r="G78" s="14"/>
    </row>
    <row r="79" spans="1:7" s="5" customFormat="1" ht="12.75">
      <c r="A79" s="29">
        <f t="shared" si="2"/>
        <v>3.039999999999999</v>
      </c>
      <c r="B79" s="15" t="s">
        <v>86</v>
      </c>
      <c r="C79" s="12" t="s">
        <v>13</v>
      </c>
      <c r="D79" s="13">
        <v>1</v>
      </c>
      <c r="E79" s="13"/>
      <c r="F79" s="13"/>
      <c r="G79" s="14"/>
    </row>
    <row r="80" spans="1:7" s="5" customFormat="1" ht="12.75">
      <c r="A80" s="29">
        <f t="shared" si="2"/>
        <v>3.049999999999999</v>
      </c>
      <c r="B80" s="15" t="s">
        <v>87</v>
      </c>
      <c r="C80" s="12" t="s">
        <v>13</v>
      </c>
      <c r="D80" s="13">
        <v>1</v>
      </c>
      <c r="E80" s="13"/>
      <c r="F80" s="13"/>
      <c r="G80" s="14"/>
    </row>
    <row r="81" spans="1:7" s="5" customFormat="1" ht="12.75">
      <c r="A81" s="29">
        <f t="shared" si="2"/>
        <v>3.0599999999999987</v>
      </c>
      <c r="B81" s="15" t="s">
        <v>88</v>
      </c>
      <c r="C81" s="12" t="s">
        <v>13</v>
      </c>
      <c r="D81" s="13">
        <v>1</v>
      </c>
      <c r="E81" s="13"/>
      <c r="F81" s="13"/>
      <c r="G81" s="14"/>
    </row>
    <row r="82" spans="1:7" s="5" customFormat="1" ht="12.75">
      <c r="A82" s="29">
        <f t="shared" si="2"/>
        <v>3.0699999999999985</v>
      </c>
      <c r="B82" s="15" t="s">
        <v>89</v>
      </c>
      <c r="C82" s="12" t="s">
        <v>13</v>
      </c>
      <c r="D82" s="13">
        <v>1</v>
      </c>
      <c r="E82" s="13"/>
      <c r="F82" s="13"/>
      <c r="G82" s="14"/>
    </row>
    <row r="83" spans="1:7" s="5" customFormat="1" ht="12.75">
      <c r="A83" s="29">
        <f t="shared" si="2"/>
        <v>3.0799999999999983</v>
      </c>
      <c r="B83" s="15" t="s">
        <v>90</v>
      </c>
      <c r="C83" s="12" t="s">
        <v>27</v>
      </c>
      <c r="D83" s="13">
        <v>12</v>
      </c>
      <c r="E83" s="13"/>
      <c r="F83" s="13"/>
      <c r="G83" s="14"/>
    </row>
    <row r="84" spans="1:7" s="5" customFormat="1" ht="12.75">
      <c r="A84" s="29">
        <f t="shared" si="2"/>
        <v>3.089999999999998</v>
      </c>
      <c r="B84" s="15" t="s">
        <v>91</v>
      </c>
      <c r="C84" s="12" t="s">
        <v>27</v>
      </c>
      <c r="D84" s="13">
        <v>28</v>
      </c>
      <c r="E84" s="13"/>
      <c r="F84" s="13"/>
      <c r="G84" s="14"/>
    </row>
    <row r="85" spans="1:7" s="5" customFormat="1" ht="12.75">
      <c r="A85" s="29">
        <f t="shared" si="2"/>
        <v>3.099999999999998</v>
      </c>
      <c r="B85" s="15" t="s">
        <v>92</v>
      </c>
      <c r="C85" s="12" t="s">
        <v>27</v>
      </c>
      <c r="D85" s="13">
        <v>56</v>
      </c>
      <c r="E85" s="13"/>
      <c r="F85" s="13"/>
      <c r="G85" s="14"/>
    </row>
    <row r="86" spans="1:7" s="5" customFormat="1" ht="13.5" thickBot="1">
      <c r="A86" s="29"/>
      <c r="B86" s="15"/>
      <c r="C86" s="12"/>
      <c r="D86" s="13"/>
      <c r="E86" s="13"/>
      <c r="F86" s="13"/>
      <c r="G86" s="14"/>
    </row>
    <row r="87" spans="1:7" s="5" customFormat="1" ht="13.5" thickBot="1">
      <c r="A87" s="29"/>
      <c r="B87" s="15"/>
      <c r="C87" s="12"/>
      <c r="D87" s="13"/>
      <c r="E87" s="84" t="str">
        <f>+B75</f>
        <v>AREA CIVICA (19.00X25.00)</v>
      </c>
      <c r="F87" s="85"/>
      <c r="G87" s="16">
        <f>SUM(F75:F86)</f>
        <v>0</v>
      </c>
    </row>
    <row r="88" spans="1:7" s="5" customFormat="1" ht="12.75">
      <c r="A88" s="29"/>
      <c r="B88" s="15"/>
      <c r="C88" s="12"/>
      <c r="D88" s="13"/>
      <c r="E88" s="13"/>
      <c r="F88" s="13"/>
      <c r="G88" s="14"/>
    </row>
    <row r="89" spans="1:7" s="5" customFormat="1" ht="13.5" thickBot="1">
      <c r="A89" s="29"/>
      <c r="B89" s="15"/>
      <c r="C89" s="12"/>
      <c r="D89" s="13"/>
      <c r="E89" s="13"/>
      <c r="F89" s="13"/>
      <c r="G89" s="14"/>
    </row>
    <row r="90" spans="1:7" s="5" customFormat="1" ht="32.25" thickBot="1">
      <c r="A90" s="28">
        <v>4</v>
      </c>
      <c r="B90" s="61" t="s">
        <v>439</v>
      </c>
      <c r="C90" s="12"/>
      <c r="D90" s="13"/>
      <c r="E90" s="13"/>
      <c r="F90" s="13"/>
      <c r="G90" s="14"/>
    </row>
    <row r="91" spans="1:7" s="5" customFormat="1" ht="12.75">
      <c r="A91" s="29">
        <f>+A90+0.01</f>
        <v>4.01</v>
      </c>
      <c r="B91" s="15" t="s">
        <v>98</v>
      </c>
      <c r="C91" s="12" t="s">
        <v>15</v>
      </c>
      <c r="D91" s="13">
        <v>110.7</v>
      </c>
      <c r="E91" s="13"/>
      <c r="F91" s="13"/>
      <c r="G91" s="14"/>
    </row>
    <row r="92" spans="1:7" s="5" customFormat="1" ht="12.75">
      <c r="A92" s="29">
        <f aca="true" t="shared" si="3" ref="A92:A107">+A91+0.01</f>
        <v>4.02</v>
      </c>
      <c r="B92" s="17" t="s">
        <v>54</v>
      </c>
      <c r="C92" s="12" t="s">
        <v>16</v>
      </c>
      <c r="D92" s="13">
        <v>59.04</v>
      </c>
      <c r="E92" s="13"/>
      <c r="F92" s="13"/>
      <c r="G92" s="14"/>
    </row>
    <row r="93" spans="1:7" s="5" customFormat="1" ht="12.75">
      <c r="A93" s="29">
        <f t="shared" si="3"/>
        <v>4.029999999999999</v>
      </c>
      <c r="B93" s="15" t="s">
        <v>40</v>
      </c>
      <c r="C93" s="12" t="s">
        <v>24</v>
      </c>
      <c r="D93" s="13">
        <v>138.375</v>
      </c>
      <c r="E93" s="13"/>
      <c r="F93" s="13"/>
      <c r="G93" s="14"/>
    </row>
    <row r="94" spans="1:7" s="5" customFormat="1" ht="12.75">
      <c r="A94" s="29">
        <f t="shared" si="3"/>
        <v>4.039999999999999</v>
      </c>
      <c r="B94" s="15" t="s">
        <v>41</v>
      </c>
      <c r="C94" s="12" t="s">
        <v>0</v>
      </c>
      <c r="D94" s="13">
        <v>36.9</v>
      </c>
      <c r="E94" s="13"/>
      <c r="F94" s="13"/>
      <c r="G94" s="14"/>
    </row>
    <row r="95" spans="1:7" s="5" customFormat="1" ht="12.75">
      <c r="A95" s="29">
        <f t="shared" si="3"/>
        <v>4.049999999999999</v>
      </c>
      <c r="B95" s="15" t="s">
        <v>42</v>
      </c>
      <c r="C95" s="12" t="s">
        <v>0</v>
      </c>
      <c r="D95" s="13">
        <v>17.664</v>
      </c>
      <c r="E95" s="13"/>
      <c r="F95" s="13"/>
      <c r="G95" s="14"/>
    </row>
    <row r="96" spans="1:7" s="5" customFormat="1" ht="12.75">
      <c r="A96" s="29">
        <f t="shared" si="3"/>
        <v>4.059999999999999</v>
      </c>
      <c r="B96" s="15" t="s">
        <v>43</v>
      </c>
      <c r="C96" s="12" t="s">
        <v>10</v>
      </c>
      <c r="D96" s="13">
        <v>246</v>
      </c>
      <c r="E96" s="13"/>
      <c r="F96" s="13"/>
      <c r="G96" s="14"/>
    </row>
    <row r="97" spans="1:7" s="5" customFormat="1" ht="12.75">
      <c r="A97" s="29">
        <f t="shared" si="3"/>
        <v>4.0699999999999985</v>
      </c>
      <c r="B97" s="15" t="s">
        <v>44</v>
      </c>
      <c r="C97" s="12" t="s">
        <v>10</v>
      </c>
      <c r="D97" s="13">
        <v>1230</v>
      </c>
      <c r="E97" s="13"/>
      <c r="F97" s="13"/>
      <c r="G97" s="14"/>
    </row>
    <row r="98" spans="1:7" s="5" customFormat="1" ht="12.75">
      <c r="A98" s="29">
        <f t="shared" si="3"/>
        <v>4.079999999999998</v>
      </c>
      <c r="B98" s="15" t="s">
        <v>45</v>
      </c>
      <c r="C98" s="12" t="s">
        <v>0</v>
      </c>
      <c r="D98" s="13">
        <v>21.28</v>
      </c>
      <c r="E98" s="13"/>
      <c r="F98" s="13"/>
      <c r="G98" s="14"/>
    </row>
    <row r="99" spans="1:7" s="5" customFormat="1" ht="12.75">
      <c r="A99" s="29">
        <f t="shared" si="3"/>
        <v>4.089999999999998</v>
      </c>
      <c r="B99" s="15" t="s">
        <v>46</v>
      </c>
      <c r="C99" s="12" t="s">
        <v>0</v>
      </c>
      <c r="D99" s="13">
        <v>16.400000000000002</v>
      </c>
      <c r="E99" s="13"/>
      <c r="F99" s="13"/>
      <c r="G99" s="14"/>
    </row>
    <row r="100" spans="1:7" s="5" customFormat="1" ht="12.75">
      <c r="A100" s="29">
        <f t="shared" si="3"/>
        <v>4.099999999999998</v>
      </c>
      <c r="B100" s="15" t="s">
        <v>47</v>
      </c>
      <c r="C100" s="12" t="s">
        <v>10</v>
      </c>
      <c r="D100" s="13">
        <v>591.6</v>
      </c>
      <c r="E100" s="13"/>
      <c r="F100" s="13"/>
      <c r="G100" s="14"/>
    </row>
    <row r="101" spans="1:7" s="5" customFormat="1" ht="12.75">
      <c r="A101" s="29">
        <f t="shared" si="3"/>
        <v>4.109999999999998</v>
      </c>
      <c r="B101" s="15" t="s">
        <v>48</v>
      </c>
      <c r="C101" s="12" t="s">
        <v>10</v>
      </c>
      <c r="D101" s="13">
        <v>591.6</v>
      </c>
      <c r="E101" s="13"/>
      <c r="F101" s="13"/>
      <c r="G101" s="14"/>
    </row>
    <row r="102" spans="1:7" s="5" customFormat="1" ht="12.75">
      <c r="A102" s="29">
        <f t="shared" si="3"/>
        <v>4.119999999999997</v>
      </c>
      <c r="B102" s="15" t="s">
        <v>49</v>
      </c>
      <c r="C102" s="12" t="s">
        <v>11</v>
      </c>
      <c r="D102" s="13">
        <v>3944</v>
      </c>
      <c r="E102" s="13"/>
      <c r="F102" s="13"/>
      <c r="G102" s="14"/>
    </row>
    <row r="103" spans="1:7" s="5" customFormat="1" ht="12.75">
      <c r="A103" s="29">
        <f t="shared" si="3"/>
        <v>4.129999999999997</v>
      </c>
      <c r="B103" s="15" t="s">
        <v>53</v>
      </c>
      <c r="C103" s="12" t="s">
        <v>10</v>
      </c>
      <c r="D103" s="13">
        <v>24</v>
      </c>
      <c r="E103" s="13"/>
      <c r="F103" s="13"/>
      <c r="G103" s="14"/>
    </row>
    <row r="104" spans="1:7" s="5" customFormat="1" ht="12.75">
      <c r="A104" s="29">
        <f t="shared" si="3"/>
        <v>4.139999999999997</v>
      </c>
      <c r="B104" s="15" t="s">
        <v>616</v>
      </c>
      <c r="C104" s="12" t="s">
        <v>11</v>
      </c>
      <c r="D104" s="13">
        <v>410</v>
      </c>
      <c r="E104" s="13"/>
      <c r="F104" s="13"/>
      <c r="G104" s="14"/>
    </row>
    <row r="105" spans="1:7" s="5" customFormat="1" ht="12.75">
      <c r="A105" s="29">
        <f t="shared" si="3"/>
        <v>4.149999999999997</v>
      </c>
      <c r="B105" s="15" t="s">
        <v>51</v>
      </c>
      <c r="C105" s="12" t="s">
        <v>10</v>
      </c>
      <c r="D105" s="13">
        <v>2542</v>
      </c>
      <c r="E105" s="13"/>
      <c r="F105" s="13"/>
      <c r="G105" s="14"/>
    </row>
    <row r="106" spans="1:7" s="5" customFormat="1" ht="12.75">
      <c r="A106" s="29">
        <f t="shared" si="3"/>
        <v>4.159999999999997</v>
      </c>
      <c r="B106" s="15" t="s">
        <v>52</v>
      </c>
      <c r="C106" s="12" t="s">
        <v>10</v>
      </c>
      <c r="D106" s="13">
        <v>2542</v>
      </c>
      <c r="E106" s="13"/>
      <c r="F106" s="13"/>
      <c r="G106" s="14"/>
    </row>
    <row r="107" spans="1:7" s="5" customFormat="1" ht="26.25" thickBot="1">
      <c r="A107" s="29">
        <f t="shared" si="3"/>
        <v>4.169999999999996</v>
      </c>
      <c r="B107" s="15" t="s">
        <v>55</v>
      </c>
      <c r="C107" s="12" t="s">
        <v>10</v>
      </c>
      <c r="D107" s="13">
        <v>48</v>
      </c>
      <c r="E107" s="13"/>
      <c r="F107" s="13"/>
      <c r="G107" s="14"/>
    </row>
    <row r="108" spans="1:7" s="5" customFormat="1" ht="13.5" thickBot="1">
      <c r="A108" s="29"/>
      <c r="B108" s="15"/>
      <c r="C108" s="12"/>
      <c r="D108" s="13"/>
      <c r="E108" s="71" t="str">
        <f>+B90</f>
        <v>VERJA PERIMETRAL EN MUROS Y COLUMNAS (H=3.00 MT SNP) 476.34ml</v>
      </c>
      <c r="F108" s="72"/>
      <c r="G108" s="16">
        <f>SUM(F91:F107)</f>
        <v>0</v>
      </c>
    </row>
    <row r="109" spans="1:7" s="5" customFormat="1" ht="12.75">
      <c r="A109" s="29"/>
      <c r="B109" s="15"/>
      <c r="C109" s="12"/>
      <c r="D109" s="13"/>
      <c r="E109" s="13"/>
      <c r="F109" s="13"/>
      <c r="G109" s="14"/>
    </row>
    <row r="110" spans="1:7" s="5" customFormat="1" ht="13.5" thickBot="1">
      <c r="A110" s="29"/>
      <c r="B110" s="15"/>
      <c r="C110" s="12"/>
      <c r="D110" s="13"/>
      <c r="E110" s="13"/>
      <c r="F110" s="13"/>
      <c r="G110" s="14"/>
    </row>
    <row r="111" spans="1:7" s="5" customFormat="1" ht="16.5" thickBot="1">
      <c r="A111" s="28">
        <v>5</v>
      </c>
      <c r="B111" s="61" t="s">
        <v>58</v>
      </c>
      <c r="C111" s="12"/>
      <c r="D111" s="13"/>
      <c r="E111" s="13"/>
      <c r="F111" s="13"/>
      <c r="G111" s="14"/>
    </row>
    <row r="112" spans="1:7" s="5" customFormat="1" ht="12.75">
      <c r="A112" s="29">
        <f>+A111+0.01</f>
        <v>5.01</v>
      </c>
      <c r="B112" s="15" t="s">
        <v>59</v>
      </c>
      <c r="C112" s="12" t="s">
        <v>15</v>
      </c>
      <c r="D112" s="13">
        <f>1020*0.6*0.4</f>
        <v>244.8</v>
      </c>
      <c r="E112" s="13"/>
      <c r="F112" s="13"/>
      <c r="G112" s="14"/>
    </row>
    <row r="113" spans="1:7" s="5" customFormat="1" ht="12.75">
      <c r="A113" s="29">
        <f aca="true" t="shared" si="4" ref="A113:A133">+A112+0.01</f>
        <v>5.02</v>
      </c>
      <c r="B113" s="17" t="s">
        <v>60</v>
      </c>
      <c r="C113" s="12" t="s">
        <v>10</v>
      </c>
      <c r="D113" s="13">
        <f>410*0.3*0.6*0.8</f>
        <v>59.04</v>
      </c>
      <c r="E113" s="13"/>
      <c r="F113" s="13"/>
      <c r="G113" s="14"/>
    </row>
    <row r="114" spans="1:7" s="5" customFormat="1" ht="12.75">
      <c r="A114" s="29">
        <f t="shared" si="4"/>
        <v>5.029999999999999</v>
      </c>
      <c r="B114" s="15" t="s">
        <v>61</v>
      </c>
      <c r="C114" s="12" t="s">
        <v>10</v>
      </c>
      <c r="D114" s="13">
        <f>+D113</f>
        <v>59.04</v>
      </c>
      <c r="E114" s="13"/>
      <c r="F114" s="13"/>
      <c r="G114" s="14"/>
    </row>
    <row r="115" spans="1:7" s="5" customFormat="1" ht="12.75">
      <c r="A115" s="29">
        <f t="shared" si="4"/>
        <v>5.039999999999999</v>
      </c>
      <c r="B115" s="15" t="s">
        <v>62</v>
      </c>
      <c r="C115" s="12" t="s">
        <v>16</v>
      </c>
      <c r="D115" s="13">
        <f>32*19*0.5</f>
        <v>304</v>
      </c>
      <c r="E115" s="13"/>
      <c r="F115" s="13"/>
      <c r="G115" s="14"/>
    </row>
    <row r="116" spans="1:7" s="5" customFormat="1" ht="25.5">
      <c r="A116" s="29">
        <f t="shared" si="4"/>
        <v>5.049999999999999</v>
      </c>
      <c r="B116" s="15" t="s">
        <v>447</v>
      </c>
      <c r="C116" s="12" t="s">
        <v>0</v>
      </c>
      <c r="D116" s="13">
        <f>32*19*0.1</f>
        <v>60.800000000000004</v>
      </c>
      <c r="E116" s="13"/>
      <c r="F116" s="13"/>
      <c r="G116" s="14"/>
    </row>
    <row r="117" spans="1:7" s="5" customFormat="1" ht="12.75">
      <c r="A117" s="29">
        <f t="shared" si="4"/>
        <v>5.059999999999999</v>
      </c>
      <c r="B117" s="15" t="s">
        <v>63</v>
      </c>
      <c r="C117" s="12" t="s">
        <v>13</v>
      </c>
      <c r="D117" s="13">
        <f>2*1.2*2*0.25</f>
        <v>1.2</v>
      </c>
      <c r="E117" s="13"/>
      <c r="F117" s="13"/>
      <c r="G117" s="14"/>
    </row>
    <row r="118" spans="1:7" s="5" customFormat="1" ht="12.75">
      <c r="A118" s="29">
        <f t="shared" si="4"/>
        <v>5.0699999999999985</v>
      </c>
      <c r="B118" s="15" t="s">
        <v>64</v>
      </c>
      <c r="C118" s="12" t="s">
        <v>68</v>
      </c>
      <c r="D118" s="13">
        <f>2.6*0.6*0.4*2</f>
        <v>1.2480000000000002</v>
      </c>
      <c r="E118" s="13"/>
      <c r="F118" s="13"/>
      <c r="G118" s="14"/>
    </row>
    <row r="119" spans="1:7" s="5" customFormat="1" ht="12.75">
      <c r="A119" s="29">
        <f t="shared" si="4"/>
        <v>5.079999999999998</v>
      </c>
      <c r="B119" s="15" t="s">
        <v>65</v>
      </c>
      <c r="C119" s="12" t="s">
        <v>68</v>
      </c>
      <c r="D119" s="13">
        <f>1.8*0.3*0.25*2</f>
        <v>0.27</v>
      </c>
      <c r="E119" s="13"/>
      <c r="F119" s="13"/>
      <c r="G119" s="14"/>
    </row>
    <row r="120" spans="1:7" s="5" customFormat="1" ht="12.75">
      <c r="A120" s="29">
        <f t="shared" si="4"/>
        <v>5.089999999999998</v>
      </c>
      <c r="B120" s="15" t="s">
        <v>67</v>
      </c>
      <c r="C120" s="12" t="s">
        <v>10</v>
      </c>
      <c r="D120" s="13">
        <f>2*2.8+(1*2.8*2)</f>
        <v>11.2</v>
      </c>
      <c r="E120" s="13"/>
      <c r="F120" s="13"/>
      <c r="G120" s="14"/>
    </row>
    <row r="121" spans="1:7" s="5" customFormat="1" ht="12.75">
      <c r="A121" s="29">
        <f t="shared" si="4"/>
        <v>5.099999999999998</v>
      </c>
      <c r="B121" s="15" t="s">
        <v>66</v>
      </c>
      <c r="C121" s="12" t="s">
        <v>11</v>
      </c>
      <c r="D121" s="13">
        <f>3.6*4*2</f>
        <v>28.8</v>
      </c>
      <c r="E121" s="13"/>
      <c r="F121" s="13"/>
      <c r="G121" s="14"/>
    </row>
    <row r="122" spans="1:7" s="5" customFormat="1" ht="12.75">
      <c r="A122" s="29">
        <f t="shared" si="4"/>
        <v>5.109999999999998</v>
      </c>
      <c r="B122" s="15" t="s">
        <v>73</v>
      </c>
      <c r="C122" s="12" t="s">
        <v>13</v>
      </c>
      <c r="D122" s="13">
        <v>2</v>
      </c>
      <c r="E122" s="13"/>
      <c r="F122" s="13"/>
      <c r="G122" s="14"/>
    </row>
    <row r="123" spans="1:7" s="5" customFormat="1" ht="12.75">
      <c r="A123" s="29">
        <f t="shared" si="4"/>
        <v>5.119999999999997</v>
      </c>
      <c r="B123" s="15" t="s">
        <v>74</v>
      </c>
      <c r="C123" s="12" t="s">
        <v>13</v>
      </c>
      <c r="D123" s="13">
        <v>2</v>
      </c>
      <c r="E123" s="13"/>
      <c r="F123" s="13"/>
      <c r="G123" s="14"/>
    </row>
    <row r="124" spans="1:7" s="5" customFormat="1" ht="12.75">
      <c r="A124" s="29">
        <f t="shared" si="4"/>
        <v>5.129999999999997</v>
      </c>
      <c r="B124" s="15" t="s">
        <v>70</v>
      </c>
      <c r="C124" s="12" t="s">
        <v>69</v>
      </c>
      <c r="D124" s="13">
        <v>1</v>
      </c>
      <c r="E124" s="13"/>
      <c r="F124" s="13"/>
      <c r="G124" s="14"/>
    </row>
    <row r="125" spans="1:7" s="5" customFormat="1" ht="25.5">
      <c r="A125" s="29">
        <f t="shared" si="4"/>
        <v>5.139999999999997</v>
      </c>
      <c r="B125" s="15" t="s">
        <v>71</v>
      </c>
      <c r="C125" s="12" t="s">
        <v>10</v>
      </c>
      <c r="D125" s="13">
        <f>32*19</f>
        <v>608</v>
      </c>
      <c r="E125" s="13"/>
      <c r="F125" s="13"/>
      <c r="G125" s="14"/>
    </row>
    <row r="126" spans="1:7" s="5" customFormat="1" ht="12.75">
      <c r="A126" s="29">
        <f t="shared" si="4"/>
        <v>5.149999999999997</v>
      </c>
      <c r="B126" s="15" t="s">
        <v>72</v>
      </c>
      <c r="C126" s="12" t="s">
        <v>10</v>
      </c>
      <c r="D126" s="13">
        <v>41.2</v>
      </c>
      <c r="E126" s="13"/>
      <c r="F126" s="13"/>
      <c r="G126" s="14"/>
    </row>
    <row r="127" spans="1:7" s="5" customFormat="1" ht="12.75">
      <c r="A127" s="29">
        <f t="shared" si="4"/>
        <v>5.159999999999997</v>
      </c>
      <c r="B127" s="15" t="s">
        <v>75</v>
      </c>
      <c r="C127" s="12" t="s">
        <v>11</v>
      </c>
      <c r="D127" s="13">
        <f>53.4*2</f>
        <v>106.8</v>
      </c>
      <c r="E127" s="13"/>
      <c r="F127" s="13"/>
      <c r="G127" s="14"/>
    </row>
    <row r="128" spans="1:7" s="5" customFormat="1" ht="12.75">
      <c r="A128" s="29">
        <f t="shared" si="4"/>
        <v>5.169999999999996</v>
      </c>
      <c r="B128" s="15" t="s">
        <v>76</v>
      </c>
      <c r="C128" s="12" t="s">
        <v>16</v>
      </c>
      <c r="D128" s="13">
        <f>53*1.2*0.2</f>
        <v>12.719999999999999</v>
      </c>
      <c r="E128" s="13"/>
      <c r="F128" s="13"/>
      <c r="G128" s="14"/>
    </row>
    <row r="129" spans="1:7" s="5" customFormat="1" ht="25.5">
      <c r="A129" s="29">
        <f t="shared" si="4"/>
        <v>5.179999999999996</v>
      </c>
      <c r="B129" s="15" t="s">
        <v>444</v>
      </c>
      <c r="C129" s="12" t="s">
        <v>0</v>
      </c>
      <c r="D129" s="13">
        <f>125*1.8*0.1</f>
        <v>22.5</v>
      </c>
      <c r="E129" s="13"/>
      <c r="F129" s="13"/>
      <c r="G129" s="14"/>
    </row>
    <row r="130" spans="1:7" s="5" customFormat="1" ht="25.5">
      <c r="A130" s="29">
        <f t="shared" si="4"/>
        <v>5.189999999999996</v>
      </c>
      <c r="B130" s="15" t="s">
        <v>685</v>
      </c>
      <c r="C130" s="12" t="s">
        <v>13</v>
      </c>
      <c r="D130" s="13">
        <v>2</v>
      </c>
      <c r="E130" s="13"/>
      <c r="F130" s="13"/>
      <c r="G130" s="14"/>
    </row>
    <row r="131" spans="1:7" s="5" customFormat="1" ht="12.75">
      <c r="A131" s="29">
        <f t="shared" si="4"/>
        <v>5.199999999999996</v>
      </c>
      <c r="B131" s="15" t="s">
        <v>445</v>
      </c>
      <c r="C131" s="12" t="s">
        <v>0</v>
      </c>
      <c r="D131" s="13">
        <f>9*2*3.4*0.12</f>
        <v>7.343999999999999</v>
      </c>
      <c r="E131" s="13"/>
      <c r="F131" s="13"/>
      <c r="G131" s="14"/>
    </row>
    <row r="132" spans="1:7" s="5" customFormat="1" ht="12.75">
      <c r="A132" s="29">
        <f t="shared" si="4"/>
        <v>5.2099999999999955</v>
      </c>
      <c r="B132" s="15" t="s">
        <v>79</v>
      </c>
      <c r="C132" s="12" t="s">
        <v>10</v>
      </c>
      <c r="D132" s="13">
        <f>18*3.5</f>
        <v>63</v>
      </c>
      <c r="E132" s="13"/>
      <c r="F132" s="13"/>
      <c r="G132" s="14"/>
    </row>
    <row r="133" spans="1:7" s="5" customFormat="1" ht="13.5" thickBot="1">
      <c r="A133" s="29">
        <f t="shared" si="4"/>
        <v>5.219999999999995</v>
      </c>
      <c r="B133" s="15" t="s">
        <v>78</v>
      </c>
      <c r="C133" s="12" t="s">
        <v>10</v>
      </c>
      <c r="D133" s="13">
        <v>63</v>
      </c>
      <c r="E133" s="13"/>
      <c r="F133" s="13"/>
      <c r="G133" s="14"/>
    </row>
    <row r="134" spans="1:7" s="5" customFormat="1" ht="13.5" thickBot="1">
      <c r="A134" s="29"/>
      <c r="B134" s="15"/>
      <c r="C134" s="12"/>
      <c r="D134" s="13"/>
      <c r="E134" s="84" t="str">
        <f>+B111</f>
        <v>CANCHA MIXTA </v>
      </c>
      <c r="F134" s="85"/>
      <c r="G134" s="16">
        <f>SUM(F110:F133)</f>
        <v>0</v>
      </c>
    </row>
    <row r="135" spans="1:7" s="5" customFormat="1" ht="12.75">
      <c r="A135" s="29"/>
      <c r="B135" s="15"/>
      <c r="C135" s="12"/>
      <c r="D135" s="13"/>
      <c r="E135" s="13"/>
      <c r="F135" s="13"/>
      <c r="G135" s="14"/>
    </row>
    <row r="136" spans="1:7" s="5" customFormat="1" ht="13.5" thickBot="1">
      <c r="A136" s="29"/>
      <c r="B136" s="15"/>
      <c r="C136" s="12"/>
      <c r="D136" s="13"/>
      <c r="E136" s="13"/>
      <c r="F136" s="13"/>
      <c r="G136" s="14"/>
    </row>
    <row r="137" spans="1:7" s="5" customFormat="1" ht="16.5" thickBot="1">
      <c r="A137" s="28">
        <v>6</v>
      </c>
      <c r="B137" s="61" t="s">
        <v>440</v>
      </c>
      <c r="C137" s="12"/>
      <c r="D137" s="13"/>
      <c r="E137" s="13"/>
      <c r="F137" s="13"/>
      <c r="G137" s="14"/>
    </row>
    <row r="138" spans="1:7" s="5" customFormat="1" ht="12.75">
      <c r="A138" s="29">
        <f>+A137+0.01</f>
        <v>6.01</v>
      </c>
      <c r="B138" s="15" t="s">
        <v>97</v>
      </c>
      <c r="C138" s="12" t="s">
        <v>0</v>
      </c>
      <c r="D138" s="13">
        <f>2.56*2</f>
        <v>5.12</v>
      </c>
      <c r="E138" s="13"/>
      <c r="F138" s="13"/>
      <c r="G138" s="14"/>
    </row>
    <row r="139" spans="1:7" s="5" customFormat="1" ht="12.75">
      <c r="A139" s="29">
        <f aca="true" t="shared" si="5" ref="A139:A155">+A138+0.01</f>
        <v>6.02</v>
      </c>
      <c r="B139" s="15" t="s">
        <v>102</v>
      </c>
      <c r="C139" s="12" t="s">
        <v>0</v>
      </c>
      <c r="D139" s="13">
        <f>74.6*0.45*0.6</f>
        <v>20.142</v>
      </c>
      <c r="E139" s="13"/>
      <c r="F139" s="13"/>
      <c r="G139" s="14"/>
    </row>
    <row r="140" spans="1:7" s="5" customFormat="1" ht="12.75">
      <c r="A140" s="29">
        <f t="shared" si="5"/>
        <v>6.029999999999999</v>
      </c>
      <c r="B140" s="15" t="s">
        <v>103</v>
      </c>
      <c r="C140" s="12" t="s">
        <v>0</v>
      </c>
      <c r="D140" s="13">
        <f>0.7*0.7*0.3*8</f>
        <v>1.1759999999999997</v>
      </c>
      <c r="E140" s="13"/>
      <c r="F140" s="13"/>
      <c r="G140" s="14"/>
    </row>
    <row r="141" spans="1:7" s="5" customFormat="1" ht="12.75">
      <c r="A141" s="29">
        <f t="shared" si="5"/>
        <v>6.039999999999999</v>
      </c>
      <c r="B141" s="15" t="s">
        <v>104</v>
      </c>
      <c r="C141" s="12" t="s">
        <v>0</v>
      </c>
      <c r="D141" s="13">
        <f>3.4*8*0.25*0.25</f>
        <v>1.7</v>
      </c>
      <c r="E141" s="13"/>
      <c r="F141" s="13"/>
      <c r="G141" s="14"/>
    </row>
    <row r="142" spans="1:7" s="5" customFormat="1" ht="12.75">
      <c r="A142" s="29">
        <f t="shared" si="5"/>
        <v>6.049999999999999</v>
      </c>
      <c r="B142" s="15" t="s">
        <v>43</v>
      </c>
      <c r="C142" s="12" t="s">
        <v>10</v>
      </c>
      <c r="D142" s="13">
        <f>73.2*0.4</f>
        <v>29.28</v>
      </c>
      <c r="E142" s="13"/>
      <c r="F142" s="13"/>
      <c r="G142" s="14"/>
    </row>
    <row r="143" spans="1:7" s="5" customFormat="1" ht="12.75">
      <c r="A143" s="29">
        <f t="shared" si="5"/>
        <v>6.059999999999999</v>
      </c>
      <c r="B143" s="15" t="s">
        <v>105</v>
      </c>
      <c r="C143" s="12" t="s">
        <v>10</v>
      </c>
      <c r="D143" s="13">
        <f>73.2*0.2</f>
        <v>14.64</v>
      </c>
      <c r="E143" s="13"/>
      <c r="F143" s="13"/>
      <c r="G143" s="14"/>
    </row>
    <row r="144" spans="1:7" s="5" customFormat="1" ht="12.75">
      <c r="A144" s="29">
        <f t="shared" si="5"/>
        <v>6.0699999999999985</v>
      </c>
      <c r="B144" s="15" t="s">
        <v>106</v>
      </c>
      <c r="C144" s="12" t="s">
        <v>0</v>
      </c>
      <c r="D144" s="13">
        <f>83.6*0.2*0.2</f>
        <v>3.344</v>
      </c>
      <c r="E144" s="13"/>
      <c r="F144" s="13"/>
      <c r="G144" s="14"/>
    </row>
    <row r="145" spans="1:7" s="5" customFormat="1" ht="12.75">
      <c r="A145" s="29">
        <f t="shared" si="5"/>
        <v>6.079999999999998</v>
      </c>
      <c r="B145" s="15" t="s">
        <v>114</v>
      </c>
      <c r="C145" s="12" t="s">
        <v>10</v>
      </c>
      <c r="D145" s="13">
        <f>9*9*2</f>
        <v>162</v>
      </c>
      <c r="E145" s="13"/>
      <c r="F145" s="13"/>
      <c r="G145" s="14"/>
    </row>
    <row r="146" spans="1:7" s="5" customFormat="1" ht="12.75">
      <c r="A146" s="29">
        <f t="shared" si="5"/>
        <v>6.089999999999998</v>
      </c>
      <c r="B146" s="15" t="s">
        <v>116</v>
      </c>
      <c r="C146" s="12" t="s">
        <v>117</v>
      </c>
      <c r="D146" s="13">
        <v>2</v>
      </c>
      <c r="E146" s="13"/>
      <c r="F146" s="13"/>
      <c r="G146" s="14"/>
    </row>
    <row r="147" spans="1:7" s="5" customFormat="1" ht="12.75">
      <c r="A147" s="29">
        <f t="shared" si="5"/>
        <v>6.099999999999998</v>
      </c>
      <c r="B147" s="15" t="s">
        <v>115</v>
      </c>
      <c r="C147" s="12" t="s">
        <v>10</v>
      </c>
      <c r="D147" s="13">
        <f>9*9*2</f>
        <v>162</v>
      </c>
      <c r="E147" s="13"/>
      <c r="F147" s="13"/>
      <c r="G147" s="14"/>
    </row>
    <row r="148" spans="1:7" s="5" customFormat="1" ht="12.75">
      <c r="A148" s="29">
        <f t="shared" si="5"/>
        <v>6.109999999999998</v>
      </c>
      <c r="B148" s="15" t="s">
        <v>110</v>
      </c>
      <c r="C148" s="12" t="s">
        <v>10</v>
      </c>
      <c r="D148" s="13">
        <f>+D143+(D144/0.2/0.2)</f>
        <v>98.24</v>
      </c>
      <c r="E148" s="13"/>
      <c r="F148" s="13"/>
      <c r="G148" s="14"/>
    </row>
    <row r="149" spans="1:7" s="5" customFormat="1" ht="12.75">
      <c r="A149" s="29">
        <f t="shared" si="5"/>
        <v>6.119999999999997</v>
      </c>
      <c r="B149" s="15" t="s">
        <v>111</v>
      </c>
      <c r="C149" s="12" t="s">
        <v>10</v>
      </c>
      <c r="D149" s="13">
        <f>+D148</f>
        <v>98.24</v>
      </c>
      <c r="E149" s="13"/>
      <c r="F149" s="13"/>
      <c r="G149" s="14"/>
    </row>
    <row r="150" spans="1:7" s="5" customFormat="1" ht="12.75">
      <c r="A150" s="29">
        <f t="shared" si="5"/>
        <v>6.129999999999997</v>
      </c>
      <c r="B150" s="15" t="s">
        <v>107</v>
      </c>
      <c r="C150" s="12" t="s">
        <v>11</v>
      </c>
      <c r="D150" s="13">
        <f>73*4</f>
        <v>292</v>
      </c>
      <c r="E150" s="13"/>
      <c r="F150" s="13"/>
      <c r="G150" s="14"/>
    </row>
    <row r="151" spans="1:7" s="5" customFormat="1" ht="12.75">
      <c r="A151" s="29">
        <f t="shared" si="5"/>
        <v>6.139999999999997</v>
      </c>
      <c r="B151" s="15" t="s">
        <v>443</v>
      </c>
      <c r="C151" s="12" t="s">
        <v>0</v>
      </c>
      <c r="D151" s="13">
        <f>7.1*7.1*2*0.1</f>
        <v>10.082</v>
      </c>
      <c r="E151" s="13"/>
      <c r="F151" s="13"/>
      <c r="G151" s="14"/>
    </row>
    <row r="152" spans="1:7" s="5" customFormat="1" ht="12.75">
      <c r="A152" s="29">
        <f t="shared" si="5"/>
        <v>6.149999999999997</v>
      </c>
      <c r="B152" s="15" t="s">
        <v>108</v>
      </c>
      <c r="C152" s="12" t="s">
        <v>0</v>
      </c>
      <c r="D152" s="13">
        <f>+D151*0.25</f>
        <v>2.5205</v>
      </c>
      <c r="E152" s="13"/>
      <c r="F152" s="13"/>
      <c r="G152" s="14"/>
    </row>
    <row r="153" spans="1:7" s="5" customFormat="1" ht="12.75">
      <c r="A153" s="29">
        <f t="shared" si="5"/>
        <v>6.159999999999997</v>
      </c>
      <c r="B153" s="15" t="s">
        <v>109</v>
      </c>
      <c r="C153" s="12" t="s">
        <v>10</v>
      </c>
      <c r="D153" s="13">
        <f>+D149</f>
        <v>98.24</v>
      </c>
      <c r="E153" s="13"/>
      <c r="F153" s="13"/>
      <c r="G153" s="14"/>
    </row>
    <row r="154" spans="1:7" s="5" customFormat="1" ht="12.75">
      <c r="A154" s="29">
        <f t="shared" si="5"/>
        <v>6.169999999999996</v>
      </c>
      <c r="B154" s="15" t="s">
        <v>113</v>
      </c>
      <c r="C154" s="12" t="s">
        <v>13</v>
      </c>
      <c r="D154" s="13">
        <v>4</v>
      </c>
      <c r="E154" s="13"/>
      <c r="F154" s="13"/>
      <c r="G154" s="14"/>
    </row>
    <row r="155" spans="1:7" s="5" customFormat="1" ht="12.75">
      <c r="A155" s="29">
        <f t="shared" si="5"/>
        <v>6.179999999999996</v>
      </c>
      <c r="B155" s="15" t="s">
        <v>112</v>
      </c>
      <c r="C155" s="12" t="s">
        <v>13</v>
      </c>
      <c r="D155" s="13">
        <v>2</v>
      </c>
      <c r="E155" s="13"/>
      <c r="F155" s="13"/>
      <c r="G155" s="14"/>
    </row>
    <row r="156" spans="1:7" s="5" customFormat="1" ht="13.5" thickBot="1">
      <c r="A156" s="29"/>
      <c r="B156" s="15"/>
      <c r="C156" s="12"/>
      <c r="D156" s="13"/>
      <c r="E156" s="13"/>
      <c r="F156" s="13"/>
      <c r="G156" s="14"/>
    </row>
    <row r="157" spans="1:7" s="5" customFormat="1" ht="13.5" thickBot="1">
      <c r="A157" s="29"/>
      <c r="B157" s="15"/>
      <c r="C157" s="12"/>
      <c r="D157" s="13"/>
      <c r="E157" s="84" t="str">
        <f>+B137</f>
        <v>GACEBOS 7.10x7.10  (2 Unds)</v>
      </c>
      <c r="F157" s="85"/>
      <c r="G157" s="16">
        <f>SUM(F137:F156)</f>
        <v>0</v>
      </c>
    </row>
    <row r="158" spans="1:7" s="5" customFormat="1" ht="12.75">
      <c r="A158" s="29"/>
      <c r="B158" s="15"/>
      <c r="C158" s="12"/>
      <c r="D158" s="13"/>
      <c r="E158" s="13"/>
      <c r="F158" s="13"/>
      <c r="G158" s="14"/>
    </row>
    <row r="159" spans="1:7" s="5" customFormat="1" ht="13.5" thickBot="1">
      <c r="A159" s="29"/>
      <c r="B159" s="15"/>
      <c r="C159" s="12"/>
      <c r="D159" s="13"/>
      <c r="E159" s="13"/>
      <c r="F159" s="13"/>
      <c r="G159" s="14"/>
    </row>
    <row r="160" spans="1:7" s="5" customFormat="1" ht="16.5" thickBot="1">
      <c r="A160" s="28">
        <v>7</v>
      </c>
      <c r="B160" s="61" t="s">
        <v>461</v>
      </c>
      <c r="C160" s="12"/>
      <c r="D160" s="13"/>
      <c r="E160" s="13"/>
      <c r="F160" s="13"/>
      <c r="G160" s="14"/>
    </row>
    <row r="161" spans="1:7" s="5" customFormat="1" ht="12.75">
      <c r="A161" s="29">
        <f aca="true" t="shared" si="6" ref="A161:A166">+A160+0.01</f>
        <v>7.01</v>
      </c>
      <c r="B161" s="15" t="s">
        <v>459</v>
      </c>
      <c r="C161" s="12" t="s">
        <v>10</v>
      </c>
      <c r="D161" s="13">
        <f>30*12</f>
        <v>360</v>
      </c>
      <c r="E161" s="13"/>
      <c r="F161" s="13"/>
      <c r="G161" s="14"/>
    </row>
    <row r="162" spans="1:7" s="5" customFormat="1" ht="25.5">
      <c r="A162" s="29">
        <f t="shared" si="6"/>
        <v>7.02</v>
      </c>
      <c r="B162" s="15" t="s">
        <v>304</v>
      </c>
      <c r="C162" s="12" t="s">
        <v>0</v>
      </c>
      <c r="D162" s="13">
        <f>30*12*0.12</f>
        <v>43.199999999999996</v>
      </c>
      <c r="E162" s="13"/>
      <c r="F162" s="13"/>
      <c r="G162" s="14"/>
    </row>
    <row r="163" spans="1:7" s="5" customFormat="1" ht="12.75">
      <c r="A163" s="29">
        <f t="shared" si="6"/>
        <v>7.029999999999999</v>
      </c>
      <c r="B163" s="15" t="s">
        <v>119</v>
      </c>
      <c r="C163" s="12" t="s">
        <v>11</v>
      </c>
      <c r="D163" s="13">
        <f>30+12</f>
        <v>42</v>
      </c>
      <c r="E163" s="13"/>
      <c r="F163" s="13"/>
      <c r="G163" s="14"/>
    </row>
    <row r="164" spans="1:7" s="5" customFormat="1" ht="12.75">
      <c r="A164" s="29">
        <f t="shared" si="6"/>
        <v>7.039999999999999</v>
      </c>
      <c r="B164" s="15" t="s">
        <v>305</v>
      </c>
      <c r="C164" s="12" t="s">
        <v>118</v>
      </c>
      <c r="D164" s="13">
        <v>8</v>
      </c>
      <c r="E164" s="13"/>
      <c r="F164" s="13"/>
      <c r="G164" s="14"/>
    </row>
    <row r="165" spans="1:7" s="5" customFormat="1" ht="25.5">
      <c r="A165" s="29">
        <f t="shared" si="6"/>
        <v>7.049999999999999</v>
      </c>
      <c r="B165" s="15" t="s">
        <v>307</v>
      </c>
      <c r="C165" s="12" t="s">
        <v>12</v>
      </c>
      <c r="D165" s="13">
        <v>1</v>
      </c>
      <c r="E165" s="13"/>
      <c r="F165" s="13"/>
      <c r="G165" s="14"/>
    </row>
    <row r="166" spans="1:7" s="5" customFormat="1" ht="13.5" thickBot="1">
      <c r="A166" s="29">
        <f t="shared" si="6"/>
        <v>7.059999999999999</v>
      </c>
      <c r="B166" s="15" t="s">
        <v>306</v>
      </c>
      <c r="C166" s="12" t="s">
        <v>12</v>
      </c>
      <c r="D166" s="13">
        <v>1</v>
      </c>
      <c r="E166" s="13"/>
      <c r="F166" s="13"/>
      <c r="G166" s="14"/>
    </row>
    <row r="167" spans="1:7" s="5" customFormat="1" ht="13.5" thickBot="1">
      <c r="A167" s="29"/>
      <c r="B167" s="15"/>
      <c r="C167" s="12"/>
      <c r="D167" s="13"/>
      <c r="E167" s="71" t="str">
        <f>+B160</f>
        <v>PARQUEO  (30.00 X 12.00)</v>
      </c>
      <c r="F167" s="72"/>
      <c r="G167" s="16">
        <f>SUM(F159:F166)</f>
        <v>0</v>
      </c>
    </row>
    <row r="168" spans="1:7" s="5" customFormat="1" ht="12.75">
      <c r="A168" s="29"/>
      <c r="B168" s="15"/>
      <c r="C168" s="12"/>
      <c r="D168" s="13"/>
      <c r="E168" s="13"/>
      <c r="F168" s="13"/>
      <c r="G168" s="14"/>
    </row>
    <row r="169" spans="1:7" s="5" customFormat="1" ht="13.5" thickBot="1">
      <c r="A169" s="29"/>
      <c r="B169" s="15"/>
      <c r="C169" s="12"/>
      <c r="D169" s="13"/>
      <c r="E169" s="13"/>
      <c r="F169" s="13"/>
      <c r="G169" s="14"/>
    </row>
    <row r="170" spans="1:7" s="5" customFormat="1" ht="16.5" thickBot="1">
      <c r="A170" s="28">
        <v>8</v>
      </c>
      <c r="B170" s="61" t="s">
        <v>614</v>
      </c>
      <c r="C170" s="12"/>
      <c r="D170" s="13"/>
      <c r="E170" s="13"/>
      <c r="F170" s="13"/>
      <c r="G170" s="14"/>
    </row>
    <row r="171" spans="1:7" s="5" customFormat="1" ht="12.75">
      <c r="A171" s="29">
        <f>+A170+0.01</f>
        <v>8.01</v>
      </c>
      <c r="B171" s="18" t="s">
        <v>395</v>
      </c>
      <c r="C171" s="19" t="s">
        <v>10</v>
      </c>
      <c r="D171" s="20">
        <v>703.5606666666663</v>
      </c>
      <c r="E171" s="13"/>
      <c r="F171" s="13"/>
      <c r="G171" s="14"/>
    </row>
    <row r="172" spans="1:7" s="5" customFormat="1" ht="15">
      <c r="A172" s="29"/>
      <c r="B172" s="21" t="s">
        <v>206</v>
      </c>
      <c r="C172" s="19"/>
      <c r="D172" s="20"/>
      <c r="E172" s="13"/>
      <c r="F172" s="13"/>
      <c r="G172" s="14"/>
    </row>
    <row r="173" spans="1:7" s="5" customFormat="1" ht="12.75">
      <c r="A173" s="29">
        <v>8.02</v>
      </c>
      <c r="B173" s="18" t="s">
        <v>121</v>
      </c>
      <c r="C173" s="19" t="s">
        <v>0</v>
      </c>
      <c r="D173" s="20">
        <v>78.63858</v>
      </c>
      <c r="E173" s="13"/>
      <c r="F173" s="13"/>
      <c r="G173" s="14"/>
    </row>
    <row r="174" spans="1:7" s="5" customFormat="1" ht="12.75">
      <c r="A174" s="29">
        <f aca="true" t="shared" si="7" ref="A174:A237">+A173+0.01</f>
        <v>8.03</v>
      </c>
      <c r="B174" s="18" t="s">
        <v>122</v>
      </c>
      <c r="C174" s="19" t="s">
        <v>0</v>
      </c>
      <c r="D174" s="20">
        <v>3.6166</v>
      </c>
      <c r="E174" s="13"/>
      <c r="F174" s="13"/>
      <c r="G174" s="14"/>
    </row>
    <row r="175" spans="1:7" s="5" customFormat="1" ht="12.75">
      <c r="A175" s="29">
        <f t="shared" si="7"/>
        <v>8.04</v>
      </c>
      <c r="B175" s="18" t="s">
        <v>123</v>
      </c>
      <c r="C175" s="19" t="s">
        <v>0</v>
      </c>
      <c r="D175" s="20">
        <v>7.704000000000001</v>
      </c>
      <c r="E175" s="13"/>
      <c r="F175" s="13"/>
      <c r="G175" s="14"/>
    </row>
    <row r="176" spans="1:7" s="5" customFormat="1" ht="12.75">
      <c r="A176" s="29">
        <f t="shared" si="7"/>
        <v>8.049999999999999</v>
      </c>
      <c r="B176" s="18" t="s">
        <v>124</v>
      </c>
      <c r="C176" s="19" t="s">
        <v>0</v>
      </c>
      <c r="D176" s="20">
        <v>2.14</v>
      </c>
      <c r="E176" s="13"/>
      <c r="F176" s="13"/>
      <c r="G176" s="14"/>
    </row>
    <row r="177" spans="1:7" s="5" customFormat="1" ht="12.75">
      <c r="A177" s="29">
        <f t="shared" si="7"/>
        <v>8.059999999999999</v>
      </c>
      <c r="B177" s="18" t="s">
        <v>125</v>
      </c>
      <c r="C177" s="19" t="s">
        <v>0</v>
      </c>
      <c r="D177" s="20">
        <v>6.1632</v>
      </c>
      <c r="E177" s="13"/>
      <c r="F177" s="13"/>
      <c r="G177" s="14"/>
    </row>
    <row r="178" spans="1:7" s="5" customFormat="1" ht="12.75">
      <c r="A178" s="29">
        <f t="shared" si="7"/>
        <v>8.069999999999999</v>
      </c>
      <c r="B178" s="18" t="s">
        <v>126</v>
      </c>
      <c r="C178" s="19" t="s">
        <v>0</v>
      </c>
      <c r="D178" s="20">
        <v>23.112000000000002</v>
      </c>
      <c r="E178" s="13"/>
      <c r="F178" s="13"/>
      <c r="G178" s="14"/>
    </row>
    <row r="179" spans="1:7" s="5" customFormat="1" ht="12.75">
      <c r="A179" s="29">
        <f t="shared" si="7"/>
        <v>8.079999999999998</v>
      </c>
      <c r="B179" s="18" t="s">
        <v>127</v>
      </c>
      <c r="C179" s="19" t="s">
        <v>0</v>
      </c>
      <c r="D179" s="20">
        <v>59.92</v>
      </c>
      <c r="E179" s="13"/>
      <c r="F179" s="13"/>
      <c r="G179" s="14"/>
    </row>
    <row r="180" spans="1:7" s="5" customFormat="1" ht="12.75">
      <c r="A180" s="29">
        <f t="shared" si="7"/>
        <v>8.089999999999998</v>
      </c>
      <c r="B180" s="18" t="s">
        <v>128</v>
      </c>
      <c r="C180" s="19" t="s">
        <v>0</v>
      </c>
      <c r="D180" s="20">
        <v>3.531</v>
      </c>
      <c r="E180" s="13"/>
      <c r="F180" s="13"/>
      <c r="G180" s="14"/>
    </row>
    <row r="181" spans="1:7" s="5" customFormat="1" ht="12.75">
      <c r="A181" s="29">
        <f t="shared" si="7"/>
        <v>8.099999999999998</v>
      </c>
      <c r="B181" s="18" t="s">
        <v>129</v>
      </c>
      <c r="C181" s="19" t="s">
        <v>0</v>
      </c>
      <c r="D181" s="20">
        <v>9.587200000000001</v>
      </c>
      <c r="E181" s="13"/>
      <c r="F181" s="13"/>
      <c r="G181" s="14"/>
    </row>
    <row r="182" spans="1:7" s="5" customFormat="1" ht="12.75">
      <c r="A182" s="29">
        <f t="shared" si="7"/>
        <v>8.109999999999998</v>
      </c>
      <c r="B182" s="18" t="s">
        <v>130</v>
      </c>
      <c r="C182" s="19" t="s">
        <v>0</v>
      </c>
      <c r="D182" s="20">
        <v>5.992</v>
      </c>
      <c r="E182" s="13"/>
      <c r="F182" s="13"/>
      <c r="G182" s="14"/>
    </row>
    <row r="183" spans="1:7" s="5" customFormat="1" ht="15">
      <c r="A183" s="29"/>
      <c r="B183" s="21" t="s">
        <v>205</v>
      </c>
      <c r="C183" s="19"/>
      <c r="D183" s="20"/>
      <c r="E183" s="13"/>
      <c r="F183" s="13"/>
      <c r="G183" s="14"/>
    </row>
    <row r="184" spans="1:7" s="5" customFormat="1" ht="12.75">
      <c r="A184" s="29">
        <v>8.12</v>
      </c>
      <c r="B184" s="18" t="s">
        <v>207</v>
      </c>
      <c r="C184" s="19" t="s">
        <v>16</v>
      </c>
      <c r="D184" s="20">
        <v>64.32987017999999</v>
      </c>
      <c r="E184" s="13"/>
      <c r="F184" s="13"/>
      <c r="G184" s="14"/>
    </row>
    <row r="185" spans="1:7" s="5" customFormat="1" ht="25.5">
      <c r="A185" s="29">
        <f t="shared" si="7"/>
        <v>8.129999999999999</v>
      </c>
      <c r="B185" s="18" t="s">
        <v>209</v>
      </c>
      <c r="C185" s="19" t="s">
        <v>16</v>
      </c>
      <c r="D185" s="20">
        <v>294.1323</v>
      </c>
      <c r="E185" s="13"/>
      <c r="F185" s="13"/>
      <c r="G185" s="14"/>
    </row>
    <row r="186" spans="1:7" s="5" customFormat="1" ht="12.75">
      <c r="A186" s="29">
        <f t="shared" si="7"/>
        <v>8.139999999999999</v>
      </c>
      <c r="B186" s="18" t="s">
        <v>208</v>
      </c>
      <c r="C186" s="19" t="s">
        <v>50</v>
      </c>
      <c r="D186" s="20">
        <v>116.75037500000002</v>
      </c>
      <c r="E186" s="13"/>
      <c r="F186" s="13"/>
      <c r="G186" s="14"/>
    </row>
    <row r="187" spans="1:7" s="5" customFormat="1" ht="15">
      <c r="A187" s="29"/>
      <c r="B187" s="21" t="s">
        <v>220</v>
      </c>
      <c r="C187" s="19"/>
      <c r="D187" s="20"/>
      <c r="E187" s="13"/>
      <c r="F187" s="13"/>
      <c r="G187" s="14"/>
    </row>
    <row r="188" spans="1:7" s="5" customFormat="1" ht="12.75">
      <c r="A188" s="29">
        <v>8.15</v>
      </c>
      <c r="B188" s="18" t="s">
        <v>131</v>
      </c>
      <c r="C188" s="19" t="s">
        <v>0</v>
      </c>
      <c r="D188" s="20">
        <v>19.659645</v>
      </c>
      <c r="E188" s="13"/>
      <c r="F188" s="13"/>
      <c r="G188" s="14"/>
    </row>
    <row r="189" spans="1:7" s="5" customFormat="1" ht="12.75">
      <c r="A189" s="29">
        <f t="shared" si="7"/>
        <v>8.16</v>
      </c>
      <c r="B189" s="22" t="s">
        <v>210</v>
      </c>
      <c r="C189" s="19" t="s">
        <v>0</v>
      </c>
      <c r="D189" s="20">
        <v>1.08498</v>
      </c>
      <c r="E189" s="13"/>
      <c r="F189" s="13"/>
      <c r="G189" s="14"/>
    </row>
    <row r="190" spans="1:7" s="5" customFormat="1" ht="12.75">
      <c r="A190" s="29">
        <f t="shared" si="7"/>
        <v>8.17</v>
      </c>
      <c r="B190" s="22" t="s">
        <v>211</v>
      </c>
      <c r="C190" s="19" t="s">
        <v>0</v>
      </c>
      <c r="D190" s="20">
        <v>3.0816</v>
      </c>
      <c r="E190" s="13"/>
      <c r="F190" s="13"/>
      <c r="G190" s="14"/>
    </row>
    <row r="191" spans="1:7" s="5" customFormat="1" ht="12.75">
      <c r="A191" s="29">
        <f t="shared" si="7"/>
        <v>8.18</v>
      </c>
      <c r="B191" s="22" t="s">
        <v>212</v>
      </c>
      <c r="C191" s="19" t="s">
        <v>0</v>
      </c>
      <c r="D191" s="20">
        <v>0.8560000000000001</v>
      </c>
      <c r="E191" s="13"/>
      <c r="F191" s="13"/>
      <c r="G191" s="14"/>
    </row>
    <row r="192" spans="1:7" s="5" customFormat="1" ht="12.75">
      <c r="A192" s="29">
        <f t="shared" si="7"/>
        <v>8.19</v>
      </c>
      <c r="B192" s="22" t="s">
        <v>213</v>
      </c>
      <c r="C192" s="19" t="s">
        <v>0</v>
      </c>
      <c r="D192" s="20">
        <v>2.46528</v>
      </c>
      <c r="E192" s="13"/>
      <c r="F192" s="13"/>
      <c r="G192" s="14"/>
    </row>
    <row r="193" spans="1:7" s="5" customFormat="1" ht="12.75">
      <c r="A193" s="29">
        <f t="shared" si="7"/>
        <v>8.2</v>
      </c>
      <c r="B193" s="22" t="s">
        <v>214</v>
      </c>
      <c r="C193" s="19" t="s">
        <v>0</v>
      </c>
      <c r="D193" s="20">
        <v>9.244800000000001</v>
      </c>
      <c r="E193" s="13"/>
      <c r="F193" s="13"/>
      <c r="G193" s="14"/>
    </row>
    <row r="194" spans="1:7" s="5" customFormat="1" ht="12.75">
      <c r="A194" s="29">
        <f t="shared" si="7"/>
        <v>8.209999999999999</v>
      </c>
      <c r="B194" s="18" t="s">
        <v>215</v>
      </c>
      <c r="C194" s="19" t="s">
        <v>0</v>
      </c>
      <c r="D194" s="20">
        <v>23.968</v>
      </c>
      <c r="E194" s="13"/>
      <c r="F194" s="13"/>
      <c r="G194" s="14"/>
    </row>
    <row r="195" spans="1:7" s="5" customFormat="1" ht="12.75">
      <c r="A195" s="29">
        <f t="shared" si="7"/>
        <v>8.219999999999999</v>
      </c>
      <c r="B195" s="18" t="s">
        <v>216</v>
      </c>
      <c r="C195" s="19" t="s">
        <v>0</v>
      </c>
      <c r="D195" s="20">
        <v>2.1186000000000003</v>
      </c>
      <c r="E195" s="13"/>
      <c r="F195" s="13"/>
      <c r="G195" s="14"/>
    </row>
    <row r="196" spans="1:7" s="5" customFormat="1" ht="12.75">
      <c r="A196" s="29">
        <f t="shared" si="7"/>
        <v>8.229999999999999</v>
      </c>
      <c r="B196" s="18" t="s">
        <v>217</v>
      </c>
      <c r="C196" s="19" t="s">
        <v>0</v>
      </c>
      <c r="D196" s="20">
        <v>3.8348800000000005</v>
      </c>
      <c r="E196" s="13"/>
      <c r="F196" s="13"/>
      <c r="G196" s="14"/>
    </row>
    <row r="197" spans="1:7" s="5" customFormat="1" ht="12.75">
      <c r="A197" s="29">
        <f t="shared" si="7"/>
        <v>8.239999999999998</v>
      </c>
      <c r="B197" s="18" t="s">
        <v>218</v>
      </c>
      <c r="C197" s="19" t="s">
        <v>0</v>
      </c>
      <c r="D197" s="20">
        <v>4.7936000000000005</v>
      </c>
      <c r="E197" s="13"/>
      <c r="F197" s="13"/>
      <c r="G197" s="14"/>
    </row>
    <row r="198" spans="1:7" s="5" customFormat="1" ht="12.75">
      <c r="A198" s="29">
        <f t="shared" si="7"/>
        <v>8.249999999999998</v>
      </c>
      <c r="B198" s="18" t="s">
        <v>219</v>
      </c>
      <c r="C198" s="19" t="s">
        <v>0</v>
      </c>
      <c r="D198" s="20">
        <v>5.23872</v>
      </c>
      <c r="E198" s="13"/>
      <c r="F198" s="13"/>
      <c r="G198" s="14"/>
    </row>
    <row r="199" spans="1:7" s="5" customFormat="1" ht="12.75">
      <c r="A199" s="29">
        <f t="shared" si="7"/>
        <v>8.259999999999998</v>
      </c>
      <c r="B199" s="18" t="s">
        <v>221</v>
      </c>
      <c r="C199" s="19" t="s">
        <v>0</v>
      </c>
      <c r="D199" s="20">
        <v>0.61632</v>
      </c>
      <c r="E199" s="13"/>
      <c r="F199" s="13"/>
      <c r="G199" s="14"/>
    </row>
    <row r="200" spans="1:7" s="5" customFormat="1" ht="12.75">
      <c r="A200" s="29">
        <f t="shared" si="7"/>
        <v>8.269999999999998</v>
      </c>
      <c r="B200" s="18" t="s">
        <v>222</v>
      </c>
      <c r="C200" s="19" t="s">
        <v>0</v>
      </c>
      <c r="D200" s="20">
        <v>2.3176200000000002</v>
      </c>
      <c r="E200" s="13"/>
      <c r="F200" s="13"/>
      <c r="G200" s="14"/>
    </row>
    <row r="201" spans="1:7" s="5" customFormat="1" ht="12.75">
      <c r="A201" s="29">
        <f t="shared" si="7"/>
        <v>8.279999999999998</v>
      </c>
      <c r="B201" s="18" t="s">
        <v>223</v>
      </c>
      <c r="C201" s="19" t="s">
        <v>0</v>
      </c>
      <c r="D201" s="20">
        <v>0.7318800000000001</v>
      </c>
      <c r="E201" s="13"/>
      <c r="F201" s="13"/>
      <c r="G201" s="14"/>
    </row>
    <row r="202" spans="1:7" s="5" customFormat="1" ht="12.75">
      <c r="A202" s="29">
        <f t="shared" si="7"/>
        <v>8.289999999999997</v>
      </c>
      <c r="B202" s="18" t="s">
        <v>224</v>
      </c>
      <c r="C202" s="19" t="s">
        <v>0</v>
      </c>
      <c r="D202" s="20">
        <v>1.4637600000000002</v>
      </c>
      <c r="E202" s="13"/>
      <c r="F202" s="13"/>
      <c r="G202" s="14"/>
    </row>
    <row r="203" spans="1:7" s="5" customFormat="1" ht="12.75">
      <c r="A203" s="29">
        <f t="shared" si="7"/>
        <v>8.299999999999997</v>
      </c>
      <c r="B203" s="18" t="s">
        <v>225</v>
      </c>
      <c r="C203" s="19" t="s">
        <v>0</v>
      </c>
      <c r="D203" s="20">
        <v>5.855040000000001</v>
      </c>
      <c r="E203" s="13"/>
      <c r="F203" s="13"/>
      <c r="G203" s="14"/>
    </row>
    <row r="204" spans="1:7" s="5" customFormat="1" ht="12.75">
      <c r="A204" s="29">
        <f t="shared" si="7"/>
        <v>8.309999999999997</v>
      </c>
      <c r="B204" s="18" t="s">
        <v>226</v>
      </c>
      <c r="C204" s="19" t="s">
        <v>0</v>
      </c>
      <c r="D204" s="20">
        <v>10.24632</v>
      </c>
      <c r="E204" s="13"/>
      <c r="F204" s="13"/>
      <c r="G204" s="14"/>
    </row>
    <row r="205" spans="1:7" s="5" customFormat="1" ht="12.75">
      <c r="A205" s="29">
        <f t="shared" si="7"/>
        <v>8.319999999999997</v>
      </c>
      <c r="B205" s="18" t="s">
        <v>227</v>
      </c>
      <c r="C205" s="19" t="s">
        <v>0</v>
      </c>
      <c r="D205" s="20">
        <v>1.4637600000000002</v>
      </c>
      <c r="E205" s="13"/>
      <c r="F205" s="13"/>
      <c r="G205" s="14"/>
    </row>
    <row r="206" spans="1:7" s="5" customFormat="1" ht="12.75">
      <c r="A206" s="29">
        <f t="shared" si="7"/>
        <v>8.329999999999997</v>
      </c>
      <c r="B206" s="18" t="s">
        <v>228</v>
      </c>
      <c r="C206" s="19" t="s">
        <v>0</v>
      </c>
      <c r="D206" s="20">
        <v>9.15813</v>
      </c>
      <c r="E206" s="13"/>
      <c r="F206" s="13"/>
      <c r="G206" s="14"/>
    </row>
    <row r="207" spans="1:7" s="5" customFormat="1" ht="12.75">
      <c r="A207" s="29">
        <f t="shared" si="7"/>
        <v>8.339999999999996</v>
      </c>
      <c r="B207" s="18" t="s">
        <v>229</v>
      </c>
      <c r="C207" s="19" t="s">
        <v>0</v>
      </c>
      <c r="D207" s="20">
        <v>4.4399115</v>
      </c>
      <c r="E207" s="13"/>
      <c r="F207" s="13"/>
      <c r="G207" s="14"/>
    </row>
    <row r="208" spans="1:7" s="5" customFormat="1" ht="12.75">
      <c r="A208" s="29">
        <f t="shared" si="7"/>
        <v>8.349999999999996</v>
      </c>
      <c r="B208" s="18" t="s">
        <v>230</v>
      </c>
      <c r="C208" s="19" t="s">
        <v>0</v>
      </c>
      <c r="D208" s="20">
        <v>0.2247</v>
      </c>
      <c r="E208" s="13"/>
      <c r="F208" s="13"/>
      <c r="G208" s="14"/>
    </row>
    <row r="209" spans="1:7" s="5" customFormat="1" ht="12.75">
      <c r="A209" s="29">
        <f t="shared" si="7"/>
        <v>8.359999999999996</v>
      </c>
      <c r="B209" s="18" t="s">
        <v>231</v>
      </c>
      <c r="C209" s="19" t="s">
        <v>0</v>
      </c>
      <c r="D209" s="20">
        <v>2.550987</v>
      </c>
      <c r="E209" s="13"/>
      <c r="F209" s="13"/>
      <c r="G209" s="14"/>
    </row>
    <row r="210" spans="1:7" s="5" customFormat="1" ht="12.75">
      <c r="A210" s="29">
        <f t="shared" si="7"/>
        <v>8.369999999999996</v>
      </c>
      <c r="B210" s="18" t="s">
        <v>232</v>
      </c>
      <c r="C210" s="19" t="s">
        <v>0</v>
      </c>
      <c r="D210" s="20">
        <v>5.5854</v>
      </c>
      <c r="E210" s="13"/>
      <c r="F210" s="13"/>
      <c r="G210" s="14"/>
    </row>
    <row r="211" spans="1:7" s="5" customFormat="1" ht="12.75">
      <c r="A211" s="29">
        <f t="shared" si="7"/>
        <v>8.379999999999995</v>
      </c>
      <c r="B211" s="18" t="s">
        <v>233</v>
      </c>
      <c r="C211" s="19" t="s">
        <v>0</v>
      </c>
      <c r="D211" s="20">
        <v>3.00456</v>
      </c>
      <c r="E211" s="13"/>
      <c r="F211" s="13"/>
      <c r="G211" s="14"/>
    </row>
    <row r="212" spans="1:7" s="5" customFormat="1" ht="12.75">
      <c r="A212" s="29">
        <f t="shared" si="7"/>
        <v>8.389999999999995</v>
      </c>
      <c r="B212" s="18" t="s">
        <v>234</v>
      </c>
      <c r="C212" s="19" t="s">
        <v>0</v>
      </c>
      <c r="D212" s="20">
        <v>3.21</v>
      </c>
      <c r="E212" s="13"/>
      <c r="F212" s="13"/>
      <c r="G212" s="14"/>
    </row>
    <row r="213" spans="1:7" s="5" customFormat="1" ht="12.75">
      <c r="A213" s="29">
        <f t="shared" si="7"/>
        <v>8.399999999999995</v>
      </c>
      <c r="B213" s="18" t="s">
        <v>235</v>
      </c>
      <c r="C213" s="19" t="s">
        <v>0</v>
      </c>
      <c r="D213" s="20">
        <v>9.518292</v>
      </c>
      <c r="E213" s="13"/>
      <c r="F213" s="13"/>
      <c r="G213" s="14"/>
    </row>
    <row r="214" spans="1:7" s="5" customFormat="1" ht="12.75">
      <c r="A214" s="29">
        <f t="shared" si="7"/>
        <v>8.409999999999995</v>
      </c>
      <c r="B214" s="18" t="s">
        <v>236</v>
      </c>
      <c r="C214" s="19" t="s">
        <v>0</v>
      </c>
      <c r="D214" s="20">
        <v>8.638110000000001</v>
      </c>
      <c r="E214" s="13"/>
      <c r="F214" s="13"/>
      <c r="G214" s="14"/>
    </row>
    <row r="215" spans="1:7" s="5" customFormat="1" ht="12.75">
      <c r="A215" s="29">
        <f t="shared" si="7"/>
        <v>8.419999999999995</v>
      </c>
      <c r="B215" s="18" t="s">
        <v>237</v>
      </c>
      <c r="C215" s="19" t="s">
        <v>0</v>
      </c>
      <c r="D215" s="20">
        <v>0.25680000000000003</v>
      </c>
      <c r="E215" s="13"/>
      <c r="F215" s="13"/>
      <c r="G215" s="14"/>
    </row>
    <row r="216" spans="1:7" s="5" customFormat="1" ht="15">
      <c r="A216" s="29"/>
      <c r="B216" s="21" t="s">
        <v>238</v>
      </c>
      <c r="C216" s="19"/>
      <c r="D216" s="20"/>
      <c r="E216" s="13"/>
      <c r="F216" s="13"/>
      <c r="G216" s="14"/>
    </row>
    <row r="217" spans="1:7" s="5" customFormat="1" ht="12.75">
      <c r="A217" s="29">
        <v>8.43</v>
      </c>
      <c r="B217" s="18" t="s">
        <v>43</v>
      </c>
      <c r="C217" s="19" t="s">
        <v>10</v>
      </c>
      <c r="D217" s="20">
        <v>92.8546</v>
      </c>
      <c r="E217" s="13"/>
      <c r="F217" s="13"/>
      <c r="G217" s="14"/>
    </row>
    <row r="218" spans="1:7" s="5" customFormat="1" ht="12.75">
      <c r="A218" s="29">
        <f t="shared" si="7"/>
        <v>8.44</v>
      </c>
      <c r="B218" s="18" t="s">
        <v>105</v>
      </c>
      <c r="C218" s="19" t="s">
        <v>10</v>
      </c>
      <c r="D218" s="20">
        <v>339.49602000000004</v>
      </c>
      <c r="E218" s="13"/>
      <c r="F218" s="13"/>
      <c r="G218" s="14"/>
    </row>
    <row r="219" spans="1:7" s="5" customFormat="1" ht="12.75">
      <c r="A219" s="29">
        <f t="shared" si="7"/>
        <v>8.45</v>
      </c>
      <c r="B219" s="18" t="s">
        <v>132</v>
      </c>
      <c r="C219" s="19" t="s">
        <v>10</v>
      </c>
      <c r="D219" s="20">
        <v>102.72</v>
      </c>
      <c r="E219" s="13"/>
      <c r="F219" s="13"/>
      <c r="G219" s="14"/>
    </row>
    <row r="220" spans="1:7" s="5" customFormat="1" ht="15">
      <c r="A220" s="29"/>
      <c r="B220" s="21" t="s">
        <v>240</v>
      </c>
      <c r="C220" s="19"/>
      <c r="D220" s="20"/>
      <c r="E220" s="13"/>
      <c r="F220" s="13"/>
      <c r="G220" s="14"/>
    </row>
    <row r="221" spans="1:7" s="5" customFormat="1" ht="12.75">
      <c r="A221" s="29">
        <v>8.46</v>
      </c>
      <c r="B221" s="6" t="s">
        <v>289</v>
      </c>
      <c r="C221" s="19" t="s">
        <v>10</v>
      </c>
      <c r="D221" s="20">
        <v>138.918528</v>
      </c>
      <c r="E221" s="13"/>
      <c r="F221" s="13"/>
      <c r="G221" s="14"/>
    </row>
    <row r="222" spans="1:7" s="5" customFormat="1" ht="12.75">
      <c r="A222" s="29">
        <f t="shared" si="7"/>
        <v>8.47</v>
      </c>
      <c r="B222" s="18" t="s">
        <v>133</v>
      </c>
      <c r="C222" s="19" t="s">
        <v>11</v>
      </c>
      <c r="D222" s="20">
        <v>64.0181</v>
      </c>
      <c r="E222" s="13"/>
      <c r="F222" s="13"/>
      <c r="G222" s="14"/>
    </row>
    <row r="223" spans="1:7" s="5" customFormat="1" ht="12.75">
      <c r="A223" s="29">
        <f t="shared" si="7"/>
        <v>8.48</v>
      </c>
      <c r="B223" s="18" t="s">
        <v>239</v>
      </c>
      <c r="C223" s="19" t="s">
        <v>10</v>
      </c>
      <c r="D223" s="20">
        <v>138.918528</v>
      </c>
      <c r="E223" s="13"/>
      <c r="F223" s="13"/>
      <c r="G223" s="14"/>
    </row>
    <row r="224" spans="1:7" s="5" customFormat="1" ht="12.75">
      <c r="A224" s="29">
        <f t="shared" si="7"/>
        <v>8.49</v>
      </c>
      <c r="B224" s="18" t="s">
        <v>134</v>
      </c>
      <c r="C224" s="19" t="s">
        <v>11</v>
      </c>
      <c r="D224" s="20">
        <v>14.552</v>
      </c>
      <c r="E224" s="13"/>
      <c r="F224" s="13"/>
      <c r="G224" s="14"/>
    </row>
    <row r="225" spans="1:7" s="5" customFormat="1" ht="12.75">
      <c r="A225" s="29">
        <f t="shared" si="7"/>
        <v>8.5</v>
      </c>
      <c r="B225" s="18" t="s">
        <v>135</v>
      </c>
      <c r="C225" s="19" t="s">
        <v>118</v>
      </c>
      <c r="D225" s="20">
        <v>2.14</v>
      </c>
      <c r="E225" s="13"/>
      <c r="F225" s="13"/>
      <c r="G225" s="14"/>
    </row>
    <row r="226" spans="1:7" s="5" customFormat="1" ht="12.75">
      <c r="A226" s="29">
        <f t="shared" si="7"/>
        <v>8.51</v>
      </c>
      <c r="B226" s="18" t="s">
        <v>136</v>
      </c>
      <c r="C226" s="19" t="s">
        <v>118</v>
      </c>
      <c r="D226" s="20">
        <v>2.14</v>
      </c>
      <c r="E226" s="13"/>
      <c r="F226" s="13"/>
      <c r="G226" s="14"/>
    </row>
    <row r="227" spans="1:7" s="5" customFormat="1" ht="12.75">
      <c r="A227" s="29">
        <f t="shared" si="7"/>
        <v>8.52</v>
      </c>
      <c r="B227" s="26" t="s">
        <v>156</v>
      </c>
      <c r="C227" s="19"/>
      <c r="D227" s="20"/>
      <c r="E227" s="13"/>
      <c r="F227" s="13"/>
      <c r="G227" s="14"/>
    </row>
    <row r="228" spans="1:7" s="5" customFormat="1" ht="12.75">
      <c r="A228" s="29">
        <f t="shared" si="7"/>
        <v>8.53</v>
      </c>
      <c r="B228" s="18" t="s">
        <v>308</v>
      </c>
      <c r="C228" s="19" t="s">
        <v>157</v>
      </c>
      <c r="D228" s="20">
        <v>32699.542400000002</v>
      </c>
      <c r="E228" s="13"/>
      <c r="F228" s="13"/>
      <c r="G228" s="14"/>
    </row>
    <row r="229" spans="1:7" s="5" customFormat="1" ht="12.75">
      <c r="A229" s="29">
        <f t="shared" si="7"/>
        <v>8.54</v>
      </c>
      <c r="B229" s="18" t="s">
        <v>321</v>
      </c>
      <c r="C229" s="19" t="s">
        <v>10</v>
      </c>
      <c r="D229" s="20">
        <v>636.6500000000001</v>
      </c>
      <c r="E229" s="13"/>
      <c r="F229" s="13"/>
      <c r="G229" s="14"/>
    </row>
    <row r="230" spans="1:7" s="5" customFormat="1" ht="12.75">
      <c r="A230" s="29">
        <f t="shared" si="7"/>
        <v>8.549999999999999</v>
      </c>
      <c r="B230" s="18" t="s">
        <v>158</v>
      </c>
      <c r="C230" s="19" t="s">
        <v>10</v>
      </c>
      <c r="D230" s="20">
        <v>57.78</v>
      </c>
      <c r="E230" s="13"/>
      <c r="F230" s="13"/>
      <c r="G230" s="14"/>
    </row>
    <row r="231" spans="1:7" s="5" customFormat="1" ht="15">
      <c r="A231" s="29"/>
      <c r="B231" s="21" t="s">
        <v>241</v>
      </c>
      <c r="C231" s="19"/>
      <c r="D231" s="20"/>
      <c r="E231" s="13"/>
      <c r="F231" s="13"/>
      <c r="G231" s="14"/>
    </row>
    <row r="232" spans="1:7" s="5" customFormat="1" ht="12.75">
      <c r="A232" s="29">
        <v>8.56</v>
      </c>
      <c r="B232" s="18" t="s">
        <v>137</v>
      </c>
      <c r="C232" s="19" t="s">
        <v>10</v>
      </c>
      <c r="D232" s="20">
        <v>141.347</v>
      </c>
      <c r="E232" s="13"/>
      <c r="F232" s="13"/>
      <c r="G232" s="14"/>
    </row>
    <row r="233" spans="1:7" s="5" customFormat="1" ht="12.75">
      <c r="A233" s="29">
        <f t="shared" si="7"/>
        <v>8.57</v>
      </c>
      <c r="B233" s="18" t="s">
        <v>138</v>
      </c>
      <c r="C233" s="19" t="s">
        <v>10</v>
      </c>
      <c r="D233" s="20">
        <v>141.347</v>
      </c>
      <c r="E233" s="13"/>
      <c r="F233" s="13"/>
      <c r="G233" s="14"/>
    </row>
    <row r="234" spans="1:7" s="5" customFormat="1" ht="12.75">
      <c r="A234" s="29">
        <f t="shared" si="7"/>
        <v>8.58</v>
      </c>
      <c r="B234" s="18" t="s">
        <v>139</v>
      </c>
      <c r="C234" s="19" t="s">
        <v>10</v>
      </c>
      <c r="D234" s="20">
        <v>65.19296</v>
      </c>
      <c r="E234" s="13"/>
      <c r="F234" s="13"/>
      <c r="G234" s="14"/>
    </row>
    <row r="235" spans="1:7" s="5" customFormat="1" ht="12.75">
      <c r="A235" s="29">
        <f t="shared" si="7"/>
        <v>8.59</v>
      </c>
      <c r="B235" s="18" t="s">
        <v>140</v>
      </c>
      <c r="C235" s="19" t="s">
        <v>11</v>
      </c>
      <c r="D235" s="20">
        <v>441.91</v>
      </c>
      <c r="E235" s="13"/>
      <c r="F235" s="13"/>
      <c r="G235" s="14"/>
    </row>
    <row r="236" spans="1:7" s="5" customFormat="1" ht="12.75">
      <c r="A236" s="29">
        <f t="shared" si="7"/>
        <v>8.6</v>
      </c>
      <c r="B236" s="18" t="s">
        <v>141</v>
      </c>
      <c r="C236" s="19" t="s">
        <v>10</v>
      </c>
      <c r="D236" s="20">
        <v>47.181222000000005</v>
      </c>
      <c r="E236" s="13"/>
      <c r="F236" s="13"/>
      <c r="G236" s="14"/>
    </row>
    <row r="237" spans="1:7" s="5" customFormat="1" ht="12.75">
      <c r="A237" s="29">
        <f t="shared" si="7"/>
        <v>8.61</v>
      </c>
      <c r="B237" s="18" t="s">
        <v>142</v>
      </c>
      <c r="C237" s="19" t="s">
        <v>10</v>
      </c>
      <c r="D237" s="20">
        <v>425.3548316</v>
      </c>
      <c r="E237" s="13"/>
      <c r="F237" s="13"/>
      <c r="G237" s="14"/>
    </row>
    <row r="238" spans="1:7" s="5" customFormat="1" ht="12.75">
      <c r="A238" s="29">
        <f aca="true" t="shared" si="8" ref="A238:A301">+A237+0.01</f>
        <v>8.62</v>
      </c>
      <c r="B238" s="18" t="s">
        <v>309</v>
      </c>
      <c r="C238" s="19" t="s">
        <v>11</v>
      </c>
      <c r="D238" s="20">
        <v>124.12</v>
      </c>
      <c r="E238" s="13"/>
      <c r="F238" s="13"/>
      <c r="G238" s="14"/>
    </row>
    <row r="239" spans="1:7" s="5" customFormat="1" ht="15">
      <c r="A239" s="29"/>
      <c r="B239" s="21" t="s">
        <v>242</v>
      </c>
      <c r="C239" s="19"/>
      <c r="D239" s="20"/>
      <c r="E239" s="13"/>
      <c r="F239" s="13"/>
      <c r="G239" s="14"/>
    </row>
    <row r="240" spans="1:7" s="5" customFormat="1" ht="12.75">
      <c r="A240" s="29">
        <v>8.63</v>
      </c>
      <c r="B240" s="18" t="s">
        <v>143</v>
      </c>
      <c r="C240" s="19" t="s">
        <v>10</v>
      </c>
      <c r="D240" s="20">
        <v>208.49164000000002</v>
      </c>
      <c r="E240" s="13"/>
      <c r="F240" s="13"/>
      <c r="G240" s="14"/>
    </row>
    <row r="241" spans="1:7" s="5" customFormat="1" ht="15">
      <c r="A241" s="29"/>
      <c r="B241" s="21" t="s">
        <v>243</v>
      </c>
      <c r="C241" s="19"/>
      <c r="D241" s="20"/>
      <c r="E241" s="13"/>
      <c r="F241" s="13"/>
      <c r="G241" s="14"/>
    </row>
    <row r="242" spans="1:7" s="5" customFormat="1" ht="12.75">
      <c r="A242" s="29">
        <v>8.64</v>
      </c>
      <c r="B242" s="18" t="s">
        <v>244</v>
      </c>
      <c r="C242" s="19" t="s">
        <v>11</v>
      </c>
      <c r="D242" s="20">
        <v>5.85</v>
      </c>
      <c r="E242" s="13"/>
      <c r="F242" s="13"/>
      <c r="G242" s="14"/>
    </row>
    <row r="243" spans="1:7" s="5" customFormat="1" ht="12.75">
      <c r="A243" s="29">
        <f t="shared" si="8"/>
        <v>8.65</v>
      </c>
      <c r="B243" s="18" t="s">
        <v>144</v>
      </c>
      <c r="C243" s="19" t="s">
        <v>11</v>
      </c>
      <c r="D243" s="20">
        <v>7.2</v>
      </c>
      <c r="E243" s="13"/>
      <c r="F243" s="13"/>
      <c r="G243" s="14"/>
    </row>
    <row r="244" spans="1:7" s="5" customFormat="1" ht="25.5">
      <c r="A244" s="29">
        <f t="shared" si="8"/>
        <v>8.66</v>
      </c>
      <c r="B244" s="18" t="s">
        <v>145</v>
      </c>
      <c r="C244" s="19" t="s">
        <v>118</v>
      </c>
      <c r="D244" s="20">
        <v>4</v>
      </c>
      <c r="E244" s="13"/>
      <c r="F244" s="13"/>
      <c r="G244" s="14"/>
    </row>
    <row r="245" spans="1:7" s="5" customFormat="1" ht="25.5">
      <c r="A245" s="29">
        <f t="shared" si="8"/>
        <v>8.67</v>
      </c>
      <c r="B245" s="18" t="s">
        <v>146</v>
      </c>
      <c r="C245" s="19" t="s">
        <v>10</v>
      </c>
      <c r="D245" s="20">
        <v>32</v>
      </c>
      <c r="E245" s="13"/>
      <c r="F245" s="13"/>
      <c r="G245" s="14"/>
    </row>
    <row r="246" spans="1:7" s="5" customFormat="1" ht="12.75">
      <c r="A246" s="29">
        <f t="shared" si="8"/>
        <v>8.68</v>
      </c>
      <c r="B246" s="18" t="s">
        <v>147</v>
      </c>
      <c r="C246" s="19" t="s">
        <v>148</v>
      </c>
      <c r="D246" s="20">
        <v>1</v>
      </c>
      <c r="E246" s="13"/>
      <c r="F246" s="13"/>
      <c r="G246" s="14"/>
    </row>
    <row r="247" spans="1:7" s="5" customFormat="1" ht="15">
      <c r="A247" s="29"/>
      <c r="B247" s="21" t="s">
        <v>245</v>
      </c>
      <c r="C247" s="19"/>
      <c r="D247" s="20"/>
      <c r="E247" s="13"/>
      <c r="F247" s="13"/>
      <c r="G247" s="14"/>
    </row>
    <row r="248" spans="1:7" s="5" customFormat="1" ht="12.75">
      <c r="A248" s="29">
        <v>8.69</v>
      </c>
      <c r="B248" s="18" t="s">
        <v>246</v>
      </c>
      <c r="C248" s="19" t="s">
        <v>10</v>
      </c>
      <c r="D248" s="20">
        <v>729.83095</v>
      </c>
      <c r="E248" s="13"/>
      <c r="F248" s="13"/>
      <c r="G248" s="14"/>
    </row>
    <row r="249" spans="1:7" s="5" customFormat="1" ht="12.75">
      <c r="A249" s="29">
        <f t="shared" si="8"/>
        <v>8.7</v>
      </c>
      <c r="B249" s="18" t="s">
        <v>682</v>
      </c>
      <c r="C249" s="19" t="s">
        <v>10</v>
      </c>
      <c r="D249" s="20">
        <f>684.27035+47.8</f>
        <v>732.07035</v>
      </c>
      <c r="E249" s="13"/>
      <c r="F249" s="13"/>
      <c r="G249" s="14"/>
    </row>
    <row r="250" spans="1:7" s="5" customFormat="1" ht="12.75">
      <c r="A250" s="29">
        <f t="shared" si="8"/>
        <v>8.709999999999999</v>
      </c>
      <c r="B250" s="18" t="s">
        <v>683</v>
      </c>
      <c r="C250" s="19" t="s">
        <v>11</v>
      </c>
      <c r="D250" s="20">
        <f>146+8.5</f>
        <v>154.5</v>
      </c>
      <c r="E250" s="13"/>
      <c r="F250" s="13"/>
      <c r="G250" s="14"/>
    </row>
    <row r="251" spans="1:7" s="5" customFormat="1" ht="15">
      <c r="A251" s="29"/>
      <c r="B251" s="21" t="s">
        <v>255</v>
      </c>
      <c r="C251" s="19"/>
      <c r="D251" s="20"/>
      <c r="E251" s="13"/>
      <c r="F251" s="13"/>
      <c r="G251" s="14"/>
    </row>
    <row r="252" spans="1:7" s="5" customFormat="1" ht="12.75">
      <c r="A252" s="29">
        <v>8.74</v>
      </c>
      <c r="B252" s="18" t="s">
        <v>149</v>
      </c>
      <c r="C252" s="19" t="s">
        <v>148</v>
      </c>
      <c r="D252" s="20">
        <v>2</v>
      </c>
      <c r="E252" s="13"/>
      <c r="F252" s="13"/>
      <c r="G252" s="14"/>
    </row>
    <row r="253" spans="1:7" s="5" customFormat="1" ht="12.75">
      <c r="A253" s="29">
        <f t="shared" si="8"/>
        <v>8.75</v>
      </c>
      <c r="B253" s="18" t="s">
        <v>150</v>
      </c>
      <c r="C253" s="19" t="s">
        <v>118</v>
      </c>
      <c r="D253" s="20">
        <v>8</v>
      </c>
      <c r="E253" s="13"/>
      <c r="F253" s="13"/>
      <c r="G253" s="14"/>
    </row>
    <row r="254" spans="1:7" s="5" customFormat="1" ht="25.5">
      <c r="A254" s="29">
        <f t="shared" si="8"/>
        <v>8.76</v>
      </c>
      <c r="B254" s="18" t="s">
        <v>257</v>
      </c>
      <c r="C254" s="19" t="s">
        <v>0</v>
      </c>
      <c r="D254" s="20">
        <v>24.48</v>
      </c>
      <c r="E254" s="13"/>
      <c r="F254" s="13"/>
      <c r="G254" s="14"/>
    </row>
    <row r="255" spans="1:7" s="5" customFormat="1" ht="12.75">
      <c r="A255" s="29">
        <f t="shared" si="8"/>
        <v>8.77</v>
      </c>
      <c r="B255" s="18" t="s">
        <v>151</v>
      </c>
      <c r="C255" s="19" t="s">
        <v>11</v>
      </c>
      <c r="D255" s="20">
        <v>65.8</v>
      </c>
      <c r="E255" s="13"/>
      <c r="F255" s="13"/>
      <c r="G255" s="14"/>
    </row>
    <row r="256" spans="1:7" s="5" customFormat="1" ht="12.75">
      <c r="A256" s="29">
        <f t="shared" si="8"/>
        <v>8.78</v>
      </c>
      <c r="B256" s="18" t="s">
        <v>629</v>
      </c>
      <c r="C256" s="19" t="s">
        <v>11</v>
      </c>
      <c r="D256" s="20">
        <v>36.05</v>
      </c>
      <c r="E256" s="13"/>
      <c r="F256" s="13"/>
      <c r="G256" s="14"/>
    </row>
    <row r="257" spans="1:7" s="5" customFormat="1" ht="12.75">
      <c r="A257" s="29">
        <f t="shared" si="8"/>
        <v>8.79</v>
      </c>
      <c r="B257" s="18" t="s">
        <v>152</v>
      </c>
      <c r="C257" s="19" t="s">
        <v>11</v>
      </c>
      <c r="D257" s="20">
        <v>28</v>
      </c>
      <c r="E257" s="13"/>
      <c r="F257" s="13"/>
      <c r="G257" s="14"/>
    </row>
    <row r="258" spans="1:7" s="5" customFormat="1" ht="12.75">
      <c r="A258" s="29">
        <f t="shared" si="8"/>
        <v>8.799999999999999</v>
      </c>
      <c r="B258" s="18" t="s">
        <v>630</v>
      </c>
      <c r="C258" s="19" t="s">
        <v>11</v>
      </c>
      <c r="D258" s="20">
        <v>41.6</v>
      </c>
      <c r="E258" s="13"/>
      <c r="F258" s="13"/>
      <c r="G258" s="14"/>
    </row>
    <row r="259" spans="1:7" s="5" customFormat="1" ht="12.75">
      <c r="A259" s="29">
        <f t="shared" si="8"/>
        <v>8.809999999999999</v>
      </c>
      <c r="B259" s="18" t="s">
        <v>631</v>
      </c>
      <c r="C259" s="19" t="s">
        <v>11</v>
      </c>
      <c r="D259" s="20">
        <v>11</v>
      </c>
      <c r="E259" s="13"/>
      <c r="F259" s="13"/>
      <c r="G259" s="14"/>
    </row>
    <row r="260" spans="1:7" s="5" customFormat="1" ht="12.75">
      <c r="A260" s="29">
        <f t="shared" si="8"/>
        <v>8.819999999999999</v>
      </c>
      <c r="B260" s="18" t="s">
        <v>632</v>
      </c>
      <c r="C260" s="19" t="s">
        <v>11</v>
      </c>
      <c r="D260" s="20">
        <v>86.6</v>
      </c>
      <c r="E260" s="13"/>
      <c r="F260" s="13"/>
      <c r="G260" s="14"/>
    </row>
    <row r="261" spans="1:7" s="5" customFormat="1" ht="12.75">
      <c r="A261" s="29">
        <f t="shared" si="8"/>
        <v>8.829999999999998</v>
      </c>
      <c r="B261" s="18" t="s">
        <v>633</v>
      </c>
      <c r="C261" s="19" t="s">
        <v>11</v>
      </c>
      <c r="D261" s="20">
        <v>28.93</v>
      </c>
      <c r="E261" s="13"/>
      <c r="F261" s="13"/>
      <c r="G261" s="14"/>
    </row>
    <row r="262" spans="1:7" s="5" customFormat="1" ht="12.75">
      <c r="A262" s="29">
        <f t="shared" si="8"/>
        <v>8.839999999999998</v>
      </c>
      <c r="B262" s="18" t="s">
        <v>634</v>
      </c>
      <c r="C262" s="19" t="s">
        <v>11</v>
      </c>
      <c r="D262" s="20">
        <v>23.14</v>
      </c>
      <c r="E262" s="13"/>
      <c r="F262" s="13"/>
      <c r="G262" s="14"/>
    </row>
    <row r="263" spans="1:7" s="5" customFormat="1" ht="12.75">
      <c r="A263" s="29">
        <f t="shared" si="8"/>
        <v>8.849999999999998</v>
      </c>
      <c r="B263" s="18" t="s">
        <v>633</v>
      </c>
      <c r="C263" s="19" t="s">
        <v>11</v>
      </c>
      <c r="D263" s="20">
        <v>19.58</v>
      </c>
      <c r="E263" s="13"/>
      <c r="F263" s="13"/>
      <c r="G263" s="14"/>
    </row>
    <row r="264" spans="1:7" s="5" customFormat="1" ht="25.5">
      <c r="A264" s="29">
        <f t="shared" si="8"/>
        <v>8.859999999999998</v>
      </c>
      <c r="B264" s="18" t="s">
        <v>635</v>
      </c>
      <c r="C264" s="19" t="s">
        <v>11</v>
      </c>
      <c r="D264" s="20">
        <v>6.23</v>
      </c>
      <c r="E264" s="13"/>
      <c r="F264" s="13"/>
      <c r="G264" s="14"/>
    </row>
    <row r="265" spans="1:7" s="5" customFormat="1" ht="25.5">
      <c r="A265" s="29">
        <f t="shared" si="8"/>
        <v>8.869999999999997</v>
      </c>
      <c r="B265" s="18" t="s">
        <v>636</v>
      </c>
      <c r="C265" s="19" t="s">
        <v>11</v>
      </c>
      <c r="D265" s="20">
        <v>22.5</v>
      </c>
      <c r="E265" s="13"/>
      <c r="F265" s="13"/>
      <c r="G265" s="14"/>
    </row>
    <row r="266" spans="1:7" s="5" customFormat="1" ht="25.5">
      <c r="A266" s="29">
        <f t="shared" si="8"/>
        <v>8.879999999999997</v>
      </c>
      <c r="B266" s="18" t="s">
        <v>637</v>
      </c>
      <c r="C266" s="19" t="s">
        <v>638</v>
      </c>
      <c r="D266" s="20">
        <v>1</v>
      </c>
      <c r="E266" s="13"/>
      <c r="F266" s="13"/>
      <c r="G266" s="14"/>
    </row>
    <row r="267" spans="1:7" s="5" customFormat="1" ht="12.75">
      <c r="A267" s="29">
        <f t="shared" si="8"/>
        <v>8.889999999999997</v>
      </c>
      <c r="B267" s="18" t="s">
        <v>639</v>
      </c>
      <c r="C267" s="19" t="s">
        <v>11</v>
      </c>
      <c r="D267" s="20">
        <v>4.5</v>
      </c>
      <c r="E267" s="13"/>
      <c r="F267" s="13"/>
      <c r="G267" s="14"/>
    </row>
    <row r="268" spans="1:7" s="5" customFormat="1" ht="12.75">
      <c r="A268" s="29">
        <f t="shared" si="8"/>
        <v>8.899999999999997</v>
      </c>
      <c r="B268" s="18" t="s">
        <v>640</v>
      </c>
      <c r="C268" s="19" t="s">
        <v>11</v>
      </c>
      <c r="D268" s="20">
        <v>5.8</v>
      </c>
      <c r="E268" s="13"/>
      <c r="F268" s="13"/>
      <c r="G268" s="14"/>
    </row>
    <row r="269" spans="1:7" s="5" customFormat="1" ht="12.75">
      <c r="A269" s="29">
        <f t="shared" si="8"/>
        <v>8.909999999999997</v>
      </c>
      <c r="B269" s="18" t="s">
        <v>641</v>
      </c>
      <c r="C269" s="19" t="s">
        <v>11</v>
      </c>
      <c r="D269" s="20">
        <v>16.2</v>
      </c>
      <c r="E269" s="13"/>
      <c r="F269" s="13"/>
      <c r="G269" s="14"/>
    </row>
    <row r="270" spans="1:7" s="5" customFormat="1" ht="12.75">
      <c r="A270" s="29">
        <f t="shared" si="8"/>
        <v>8.919999999999996</v>
      </c>
      <c r="B270" s="18" t="s">
        <v>642</v>
      </c>
      <c r="C270" s="19" t="s">
        <v>638</v>
      </c>
      <c r="D270" s="20">
        <v>2</v>
      </c>
      <c r="E270" s="13"/>
      <c r="F270" s="13"/>
      <c r="G270" s="14"/>
    </row>
    <row r="271" spans="1:7" s="5" customFormat="1" ht="12.75">
      <c r="A271" s="29">
        <f t="shared" si="8"/>
        <v>8.929999999999996</v>
      </c>
      <c r="B271" s="18" t="s">
        <v>643</v>
      </c>
      <c r="C271" s="19" t="s">
        <v>11</v>
      </c>
      <c r="D271" s="20">
        <v>12.1</v>
      </c>
      <c r="E271" s="13"/>
      <c r="F271" s="13"/>
      <c r="G271" s="14"/>
    </row>
    <row r="272" spans="1:7" s="5" customFormat="1" ht="12.75">
      <c r="A272" s="29">
        <f t="shared" si="8"/>
        <v>8.939999999999996</v>
      </c>
      <c r="B272" s="18" t="s">
        <v>644</v>
      </c>
      <c r="C272" s="19" t="s">
        <v>638</v>
      </c>
      <c r="D272" s="20">
        <v>1</v>
      </c>
      <c r="E272" s="13"/>
      <c r="F272" s="13"/>
      <c r="G272" s="14"/>
    </row>
    <row r="273" spans="1:7" s="5" customFormat="1" ht="12.75">
      <c r="A273" s="29">
        <f t="shared" si="8"/>
        <v>8.949999999999996</v>
      </c>
      <c r="B273" s="18" t="s">
        <v>645</v>
      </c>
      <c r="C273" s="19" t="s">
        <v>638</v>
      </c>
      <c r="D273" s="20">
        <v>6</v>
      </c>
      <c r="E273" s="13"/>
      <c r="F273" s="13"/>
      <c r="G273" s="14"/>
    </row>
    <row r="274" spans="1:7" s="5" customFormat="1" ht="12.75">
      <c r="A274" s="29">
        <f t="shared" si="8"/>
        <v>8.959999999999996</v>
      </c>
      <c r="B274" s="18" t="s">
        <v>646</v>
      </c>
      <c r="C274" s="19" t="s">
        <v>638</v>
      </c>
      <c r="D274" s="20">
        <v>2</v>
      </c>
      <c r="E274" s="13"/>
      <c r="F274" s="13"/>
      <c r="G274" s="14"/>
    </row>
    <row r="275" spans="1:7" s="5" customFormat="1" ht="12.75">
      <c r="A275" s="29">
        <f t="shared" si="8"/>
        <v>8.969999999999995</v>
      </c>
      <c r="B275" s="18" t="s">
        <v>647</v>
      </c>
      <c r="C275" s="19" t="s">
        <v>11</v>
      </c>
      <c r="D275" s="20">
        <v>4</v>
      </c>
      <c r="E275" s="13"/>
      <c r="F275" s="13"/>
      <c r="G275" s="14"/>
    </row>
    <row r="276" spans="1:7" s="5" customFormat="1" ht="12.75">
      <c r="A276" s="29">
        <f t="shared" si="8"/>
        <v>8.979999999999995</v>
      </c>
      <c r="B276" s="18" t="s">
        <v>648</v>
      </c>
      <c r="C276" s="19" t="s">
        <v>11</v>
      </c>
      <c r="D276" s="20">
        <v>10</v>
      </c>
      <c r="E276" s="13"/>
      <c r="F276" s="13"/>
      <c r="G276" s="14"/>
    </row>
    <row r="277" spans="1:7" s="5" customFormat="1" ht="12.75">
      <c r="A277" s="29">
        <f t="shared" si="8"/>
        <v>8.989999999999995</v>
      </c>
      <c r="B277" s="18" t="s">
        <v>649</v>
      </c>
      <c r="C277" s="19" t="s">
        <v>11</v>
      </c>
      <c r="D277" s="20">
        <v>5</v>
      </c>
      <c r="E277" s="13"/>
      <c r="F277" s="13"/>
      <c r="G277" s="14"/>
    </row>
    <row r="278" spans="1:7" s="5" customFormat="1" ht="12.75">
      <c r="A278" s="29">
        <f t="shared" si="8"/>
        <v>8.999999999999995</v>
      </c>
      <c r="B278" s="18" t="s">
        <v>650</v>
      </c>
      <c r="C278" s="19" t="s">
        <v>638</v>
      </c>
      <c r="D278" s="20">
        <v>2</v>
      </c>
      <c r="E278" s="13"/>
      <c r="F278" s="13"/>
      <c r="G278" s="14"/>
    </row>
    <row r="279" spans="1:7" s="5" customFormat="1" ht="12.75">
      <c r="A279" s="29">
        <f t="shared" si="8"/>
        <v>9.009999999999994</v>
      </c>
      <c r="B279" s="18" t="s">
        <v>651</v>
      </c>
      <c r="C279" s="19" t="s">
        <v>638</v>
      </c>
      <c r="D279" s="20">
        <v>1</v>
      </c>
      <c r="E279" s="13"/>
      <c r="F279" s="13"/>
      <c r="G279" s="14"/>
    </row>
    <row r="280" spans="1:7" s="5" customFormat="1" ht="12.75">
      <c r="A280" s="29">
        <f t="shared" si="8"/>
        <v>9.019999999999994</v>
      </c>
      <c r="B280" s="18" t="s">
        <v>652</v>
      </c>
      <c r="C280" s="19" t="s">
        <v>638</v>
      </c>
      <c r="D280" s="20">
        <v>2</v>
      </c>
      <c r="E280" s="13"/>
      <c r="F280" s="13"/>
      <c r="G280" s="14"/>
    </row>
    <row r="281" spans="1:7" s="5" customFormat="1" ht="12.75">
      <c r="A281" s="29">
        <f t="shared" si="8"/>
        <v>9.029999999999994</v>
      </c>
      <c r="B281" s="18" t="s">
        <v>653</v>
      </c>
      <c r="C281" s="19" t="s">
        <v>638</v>
      </c>
      <c r="D281" s="20">
        <v>1</v>
      </c>
      <c r="E281" s="13"/>
      <c r="F281" s="13"/>
      <c r="G281" s="14"/>
    </row>
    <row r="282" spans="1:7" s="5" customFormat="1" ht="12.75">
      <c r="A282" s="29">
        <f t="shared" si="8"/>
        <v>9.039999999999994</v>
      </c>
      <c r="B282" s="18" t="s">
        <v>654</v>
      </c>
      <c r="C282" s="19" t="s">
        <v>655</v>
      </c>
      <c r="D282" s="20">
        <v>1</v>
      </c>
      <c r="E282" s="13"/>
      <c r="F282" s="13"/>
      <c r="G282" s="14"/>
    </row>
    <row r="283" spans="1:7" s="5" customFormat="1" ht="12.75">
      <c r="A283" s="29">
        <f t="shared" si="8"/>
        <v>9.049999999999994</v>
      </c>
      <c r="B283" s="18" t="s">
        <v>656</v>
      </c>
      <c r="C283" s="19" t="s">
        <v>655</v>
      </c>
      <c r="D283" s="20">
        <v>1</v>
      </c>
      <c r="E283" s="13"/>
      <c r="F283" s="13"/>
      <c r="G283" s="14"/>
    </row>
    <row r="284" spans="1:7" s="5" customFormat="1" ht="12.75">
      <c r="A284" s="29">
        <f t="shared" si="8"/>
        <v>9.059999999999993</v>
      </c>
      <c r="B284" s="18" t="s">
        <v>657</v>
      </c>
      <c r="C284" s="19" t="s">
        <v>655</v>
      </c>
      <c r="D284" s="20">
        <v>1</v>
      </c>
      <c r="E284" s="13"/>
      <c r="F284" s="13"/>
      <c r="G284" s="14"/>
    </row>
    <row r="285" spans="1:7" s="5" customFormat="1" ht="12.75">
      <c r="A285" s="29">
        <f t="shared" si="8"/>
        <v>9.069999999999993</v>
      </c>
      <c r="B285" s="18" t="s">
        <v>658</v>
      </c>
      <c r="C285" s="19" t="s">
        <v>655</v>
      </c>
      <c r="D285" s="20">
        <v>1</v>
      </c>
      <c r="E285" s="13"/>
      <c r="F285" s="13"/>
      <c r="G285" s="14"/>
    </row>
    <row r="286" spans="1:7" s="5" customFormat="1" ht="12.75">
      <c r="A286" s="29">
        <f t="shared" si="8"/>
        <v>9.079999999999993</v>
      </c>
      <c r="B286" s="18" t="s">
        <v>659</v>
      </c>
      <c r="C286" s="19" t="s">
        <v>638</v>
      </c>
      <c r="D286" s="20">
        <v>2</v>
      </c>
      <c r="E286" s="13"/>
      <c r="F286" s="13"/>
      <c r="G286" s="14"/>
    </row>
    <row r="287" spans="1:7" s="5" customFormat="1" ht="12.75">
      <c r="A287" s="29">
        <f t="shared" si="8"/>
        <v>9.089999999999993</v>
      </c>
      <c r="B287" s="18" t="s">
        <v>660</v>
      </c>
      <c r="C287" s="19" t="s">
        <v>638</v>
      </c>
      <c r="D287" s="20">
        <v>1</v>
      </c>
      <c r="E287" s="13"/>
      <c r="F287" s="13"/>
      <c r="G287" s="14"/>
    </row>
    <row r="288" spans="1:7" s="5" customFormat="1" ht="12.75">
      <c r="A288" s="29">
        <f>+A263+0.01</f>
        <v>8.859999999999998</v>
      </c>
      <c r="B288" s="18" t="s">
        <v>253</v>
      </c>
      <c r="C288" s="19" t="s">
        <v>148</v>
      </c>
      <c r="D288" s="20">
        <v>2</v>
      </c>
      <c r="E288" s="13"/>
      <c r="F288" s="13"/>
      <c r="G288" s="14"/>
    </row>
    <row r="289" spans="1:7" s="5" customFormat="1" ht="12.75">
      <c r="A289" s="29">
        <f t="shared" si="8"/>
        <v>8.869999999999997</v>
      </c>
      <c r="B289" s="18" t="s">
        <v>153</v>
      </c>
      <c r="C289" s="19" t="s">
        <v>118</v>
      </c>
      <c r="D289" s="20">
        <v>6</v>
      </c>
      <c r="E289" s="13"/>
      <c r="F289" s="13"/>
      <c r="G289" s="14"/>
    </row>
    <row r="290" spans="1:7" s="5" customFormat="1" ht="12.75">
      <c r="A290" s="29">
        <f t="shared" si="8"/>
        <v>8.879999999999997</v>
      </c>
      <c r="B290" s="18" t="s">
        <v>154</v>
      </c>
      <c r="C290" s="19" t="s">
        <v>118</v>
      </c>
      <c r="D290" s="20">
        <v>6</v>
      </c>
      <c r="E290" s="13"/>
      <c r="F290" s="13"/>
      <c r="G290" s="14"/>
    </row>
    <row r="291" spans="1:7" s="5" customFormat="1" ht="12.75">
      <c r="A291" s="29">
        <f t="shared" si="8"/>
        <v>8.889999999999997</v>
      </c>
      <c r="B291" s="18" t="s">
        <v>155</v>
      </c>
      <c r="C291" s="19" t="s">
        <v>148</v>
      </c>
      <c r="D291" s="20">
        <v>1</v>
      </c>
      <c r="E291" s="13"/>
      <c r="F291" s="13"/>
      <c r="G291" s="14"/>
    </row>
    <row r="292" spans="1:7" s="5" customFormat="1" ht="25.5">
      <c r="A292" s="29">
        <f t="shared" si="8"/>
        <v>8.899999999999997</v>
      </c>
      <c r="B292" s="18" t="s">
        <v>254</v>
      </c>
      <c r="C292" s="19" t="s">
        <v>148</v>
      </c>
      <c r="D292" s="20">
        <v>1</v>
      </c>
      <c r="E292" s="13"/>
      <c r="F292" s="13"/>
      <c r="G292" s="14"/>
    </row>
    <row r="293" spans="1:7" s="5" customFormat="1" ht="12.75">
      <c r="A293" s="29">
        <f t="shared" si="8"/>
        <v>8.909999999999997</v>
      </c>
      <c r="B293" s="18" t="s">
        <v>310</v>
      </c>
      <c r="C293" s="19" t="s">
        <v>11</v>
      </c>
      <c r="D293" s="20">
        <v>18</v>
      </c>
      <c r="E293" s="13"/>
      <c r="F293" s="13"/>
      <c r="G293" s="14"/>
    </row>
    <row r="294" spans="1:7" s="5" customFormat="1" ht="15">
      <c r="A294" s="29"/>
      <c r="B294" s="21" t="s">
        <v>256</v>
      </c>
      <c r="C294" s="23"/>
      <c r="D294" s="10"/>
      <c r="E294" s="13"/>
      <c r="F294" s="13"/>
      <c r="G294" s="14"/>
    </row>
    <row r="295" spans="1:7" s="5" customFormat="1" ht="25.5">
      <c r="A295" s="29">
        <v>8.87</v>
      </c>
      <c r="B295" s="18" t="s">
        <v>201</v>
      </c>
      <c r="C295" s="19" t="s">
        <v>159</v>
      </c>
      <c r="D295" s="20">
        <v>713.65030728</v>
      </c>
      <c r="E295" s="13"/>
      <c r="F295" s="13"/>
      <c r="G295" s="14"/>
    </row>
    <row r="296" spans="1:7" s="5" customFormat="1" ht="12.75">
      <c r="A296" s="29">
        <f t="shared" si="8"/>
        <v>8.879999999999999</v>
      </c>
      <c r="B296" s="18" t="s">
        <v>556</v>
      </c>
      <c r="C296" s="19" t="s">
        <v>13</v>
      </c>
      <c r="D296" s="20">
        <v>6</v>
      </c>
      <c r="E296" s="13"/>
      <c r="F296" s="13"/>
      <c r="G296" s="14"/>
    </row>
    <row r="297" spans="1:7" s="5" customFormat="1" ht="12.75">
      <c r="A297" s="29">
        <f t="shared" si="8"/>
        <v>8.889999999999999</v>
      </c>
      <c r="B297" s="18" t="s">
        <v>557</v>
      </c>
      <c r="C297" s="19" t="s">
        <v>13</v>
      </c>
      <c r="D297" s="20">
        <v>2</v>
      </c>
      <c r="E297" s="13"/>
      <c r="F297" s="13"/>
      <c r="G297" s="14"/>
    </row>
    <row r="298" spans="1:7" s="5" customFormat="1" ht="12.75">
      <c r="A298" s="29">
        <f t="shared" si="8"/>
        <v>8.899999999999999</v>
      </c>
      <c r="B298" s="18" t="s">
        <v>160</v>
      </c>
      <c r="C298" s="19" t="s">
        <v>13</v>
      </c>
      <c r="D298" s="20">
        <v>3</v>
      </c>
      <c r="E298" s="13"/>
      <c r="F298" s="13"/>
      <c r="G298" s="14"/>
    </row>
    <row r="299" spans="1:7" s="5" customFormat="1" ht="12.75">
      <c r="A299" s="29">
        <f t="shared" si="8"/>
        <v>8.909999999999998</v>
      </c>
      <c r="B299" s="18" t="s">
        <v>161</v>
      </c>
      <c r="C299" s="19" t="s">
        <v>13</v>
      </c>
      <c r="D299" s="20">
        <v>1</v>
      </c>
      <c r="E299" s="13"/>
      <c r="F299" s="13"/>
      <c r="G299" s="14"/>
    </row>
    <row r="300" spans="1:7" s="5" customFormat="1" ht="12.75">
      <c r="A300" s="29">
        <f t="shared" si="8"/>
        <v>8.919999999999998</v>
      </c>
      <c r="B300" s="18" t="s">
        <v>558</v>
      </c>
      <c r="C300" s="19" t="s">
        <v>148</v>
      </c>
      <c r="D300" s="20">
        <v>1</v>
      </c>
      <c r="E300" s="13"/>
      <c r="F300" s="13"/>
      <c r="G300" s="14"/>
    </row>
    <row r="301" spans="1:7" s="5" customFormat="1" ht="12.75">
      <c r="A301" s="29">
        <f t="shared" si="8"/>
        <v>8.929999999999998</v>
      </c>
      <c r="B301" s="18" t="s">
        <v>314</v>
      </c>
      <c r="C301" s="19" t="s">
        <v>13</v>
      </c>
      <c r="D301" s="20">
        <v>1</v>
      </c>
      <c r="E301" s="13"/>
      <c r="F301" s="13"/>
      <c r="G301" s="14"/>
    </row>
    <row r="302" spans="1:7" s="5" customFormat="1" ht="12.75">
      <c r="A302" s="29">
        <f aca="true" t="shared" si="9" ref="A302:A308">+A301+0.01</f>
        <v>8.939999999999998</v>
      </c>
      <c r="B302" s="18" t="s">
        <v>315</v>
      </c>
      <c r="C302" s="19" t="s">
        <v>13</v>
      </c>
      <c r="D302" s="20">
        <v>1</v>
      </c>
      <c r="E302" s="13"/>
      <c r="F302" s="13"/>
      <c r="G302" s="14"/>
    </row>
    <row r="303" spans="1:7" s="5" customFormat="1" ht="12.75">
      <c r="A303" s="29">
        <f t="shared" si="9"/>
        <v>8.949999999999998</v>
      </c>
      <c r="B303" s="18" t="s">
        <v>559</v>
      </c>
      <c r="C303" s="19" t="s">
        <v>27</v>
      </c>
      <c r="D303" s="20">
        <v>15</v>
      </c>
      <c r="E303" s="13"/>
      <c r="F303" s="13"/>
      <c r="G303" s="14"/>
    </row>
    <row r="304" spans="1:7" s="5" customFormat="1" ht="25.5">
      <c r="A304" s="29">
        <f t="shared" si="9"/>
        <v>8.959999999999997</v>
      </c>
      <c r="B304" s="18" t="s">
        <v>163</v>
      </c>
      <c r="C304" s="19" t="s">
        <v>164</v>
      </c>
      <c r="D304" s="20">
        <v>699.6623000000001</v>
      </c>
      <c r="E304" s="13"/>
      <c r="F304" s="13"/>
      <c r="G304" s="14"/>
    </row>
    <row r="305" spans="1:7" s="5" customFormat="1" ht="12.75">
      <c r="A305" s="29">
        <f t="shared" si="9"/>
        <v>8.969999999999997</v>
      </c>
      <c r="B305" s="18" t="s">
        <v>560</v>
      </c>
      <c r="C305" s="19" t="s">
        <v>13</v>
      </c>
      <c r="D305" s="20">
        <v>14</v>
      </c>
      <c r="E305" s="13"/>
      <c r="F305" s="13"/>
      <c r="G305" s="14"/>
    </row>
    <row r="306" spans="1:7" s="5" customFormat="1" ht="15">
      <c r="A306" s="29"/>
      <c r="B306" s="21" t="s">
        <v>203</v>
      </c>
      <c r="C306" s="19"/>
      <c r="D306" s="20"/>
      <c r="E306" s="13"/>
      <c r="F306" s="13"/>
      <c r="G306" s="14"/>
    </row>
    <row r="307" spans="1:7" s="5" customFormat="1" ht="12.75">
      <c r="A307" s="29">
        <v>8.98</v>
      </c>
      <c r="B307" s="18" t="s">
        <v>258</v>
      </c>
      <c r="C307" s="19" t="s">
        <v>0</v>
      </c>
      <c r="D307" s="20">
        <v>21.24</v>
      </c>
      <c r="E307" s="13"/>
      <c r="F307" s="13"/>
      <c r="G307" s="14"/>
    </row>
    <row r="308" spans="1:7" s="5" customFormat="1" ht="12.75">
      <c r="A308" s="29">
        <f t="shared" si="9"/>
        <v>8.99</v>
      </c>
      <c r="B308" s="18" t="s">
        <v>165</v>
      </c>
      <c r="C308" s="19" t="s">
        <v>0</v>
      </c>
      <c r="D308" s="20">
        <v>10.836</v>
      </c>
      <c r="E308" s="13"/>
      <c r="F308" s="13"/>
      <c r="G308" s="14"/>
    </row>
    <row r="309" spans="1:7" s="5" customFormat="1" ht="12.75">
      <c r="A309" s="29">
        <v>8.1</v>
      </c>
      <c r="B309" s="18" t="s">
        <v>166</v>
      </c>
      <c r="C309" s="19" t="s">
        <v>10</v>
      </c>
      <c r="D309" s="20">
        <v>48.16</v>
      </c>
      <c r="E309" s="13"/>
      <c r="F309" s="13"/>
      <c r="G309" s="14"/>
    </row>
    <row r="310" spans="1:7" s="5" customFormat="1" ht="12.75">
      <c r="A310" s="29">
        <v>8.101</v>
      </c>
      <c r="B310" s="18" t="s">
        <v>167</v>
      </c>
      <c r="C310" s="19" t="s">
        <v>10</v>
      </c>
      <c r="D310" s="20">
        <v>240.8</v>
      </c>
      <c r="E310" s="13"/>
      <c r="F310" s="13"/>
      <c r="G310" s="14"/>
    </row>
    <row r="311" spans="1:7" s="5" customFormat="1" ht="15">
      <c r="A311" s="29"/>
      <c r="B311" s="21" t="s">
        <v>168</v>
      </c>
      <c r="C311" s="19"/>
      <c r="D311" s="20"/>
      <c r="E311" s="13"/>
      <c r="F311" s="13"/>
      <c r="G311" s="14"/>
    </row>
    <row r="312" spans="1:7" s="5" customFormat="1" ht="12.75">
      <c r="A312" s="29">
        <v>8.102</v>
      </c>
      <c r="B312" s="18" t="s">
        <v>258</v>
      </c>
      <c r="C312" s="19" t="s">
        <v>0</v>
      </c>
      <c r="D312" s="20">
        <v>82.4</v>
      </c>
      <c r="E312" s="13"/>
      <c r="F312" s="13"/>
      <c r="G312" s="14"/>
    </row>
    <row r="313" spans="1:7" s="5" customFormat="1" ht="12.75">
      <c r="A313" s="29">
        <v>8.103</v>
      </c>
      <c r="B313" s="18" t="s">
        <v>165</v>
      </c>
      <c r="C313" s="19" t="s">
        <v>0</v>
      </c>
      <c r="D313" s="20">
        <v>14.832</v>
      </c>
      <c r="E313" s="13"/>
      <c r="F313" s="13"/>
      <c r="G313" s="14"/>
    </row>
    <row r="314" spans="1:7" s="5" customFormat="1" ht="12.75">
      <c r="A314" s="29">
        <f>+A313+0.001</f>
        <v>8.104</v>
      </c>
      <c r="B314" s="18" t="s">
        <v>166</v>
      </c>
      <c r="C314" s="19" t="s">
        <v>10</v>
      </c>
      <c r="D314" s="20">
        <v>32.96</v>
      </c>
      <c r="E314" s="13"/>
      <c r="F314" s="13"/>
      <c r="G314" s="14"/>
    </row>
    <row r="315" spans="1:7" s="5" customFormat="1" ht="12.75">
      <c r="A315" s="29">
        <f aca="true" t="shared" si="10" ref="A315:A347">+A314+0.001</f>
        <v>8.104999999999999</v>
      </c>
      <c r="B315" s="18" t="s">
        <v>167</v>
      </c>
      <c r="C315" s="19" t="s">
        <v>10</v>
      </c>
      <c r="D315" s="20">
        <v>415</v>
      </c>
      <c r="E315" s="13"/>
      <c r="F315" s="13"/>
      <c r="G315" s="14"/>
    </row>
    <row r="316" spans="1:7" s="5" customFormat="1" ht="15">
      <c r="A316" s="29"/>
      <c r="B316" s="21" t="s">
        <v>204</v>
      </c>
      <c r="C316" s="19"/>
      <c r="D316" s="20"/>
      <c r="E316" s="13"/>
      <c r="F316" s="13"/>
      <c r="G316" s="14"/>
    </row>
    <row r="317" spans="1:7" s="5" customFormat="1" ht="12.75">
      <c r="A317" s="29">
        <v>8.106</v>
      </c>
      <c r="B317" s="18" t="s">
        <v>259</v>
      </c>
      <c r="C317" s="19" t="s">
        <v>13</v>
      </c>
      <c r="D317" s="20">
        <v>2</v>
      </c>
      <c r="E317" s="13"/>
      <c r="F317" s="13"/>
      <c r="G317" s="14"/>
    </row>
    <row r="318" spans="1:7" s="5" customFormat="1" ht="12.75">
      <c r="A318" s="29">
        <v>8.107</v>
      </c>
      <c r="B318" s="18" t="s">
        <v>169</v>
      </c>
      <c r="C318" s="19" t="s">
        <v>148</v>
      </c>
      <c r="D318" s="20">
        <v>8</v>
      </c>
      <c r="E318" s="13"/>
      <c r="F318" s="13"/>
      <c r="G318" s="14"/>
    </row>
    <row r="319" spans="1:7" s="5" customFormat="1" ht="15">
      <c r="A319" s="29"/>
      <c r="B319" s="21" t="s">
        <v>175</v>
      </c>
      <c r="C319" s="19"/>
      <c r="D319" s="20"/>
      <c r="E319" s="13"/>
      <c r="F319" s="13"/>
      <c r="G319" s="14"/>
    </row>
    <row r="320" spans="1:7" s="5" customFormat="1" ht="51">
      <c r="A320" s="29">
        <v>8.108</v>
      </c>
      <c r="B320" s="18" t="s">
        <v>176</v>
      </c>
      <c r="C320" s="19" t="s">
        <v>177</v>
      </c>
      <c r="D320" s="20">
        <v>23</v>
      </c>
      <c r="E320" s="13"/>
      <c r="F320" s="13"/>
      <c r="G320" s="14"/>
    </row>
    <row r="321" spans="1:7" s="5" customFormat="1" ht="51">
      <c r="A321" s="29">
        <f t="shared" si="10"/>
        <v>8.109</v>
      </c>
      <c r="B321" s="18" t="s">
        <v>178</v>
      </c>
      <c r="C321" s="19" t="s">
        <v>177</v>
      </c>
      <c r="D321" s="20">
        <v>4</v>
      </c>
      <c r="E321" s="13"/>
      <c r="F321" s="13"/>
      <c r="G321" s="14"/>
    </row>
    <row r="322" spans="1:7" s="5" customFormat="1" ht="51">
      <c r="A322" s="29">
        <f t="shared" si="10"/>
        <v>8.11</v>
      </c>
      <c r="B322" s="18" t="s">
        <v>179</v>
      </c>
      <c r="C322" s="19" t="s">
        <v>177</v>
      </c>
      <c r="D322" s="20">
        <v>53</v>
      </c>
      <c r="E322" s="13"/>
      <c r="F322" s="13"/>
      <c r="G322" s="14"/>
    </row>
    <row r="323" spans="1:7" s="5" customFormat="1" ht="51">
      <c r="A323" s="29">
        <f t="shared" si="10"/>
        <v>8.110999999999999</v>
      </c>
      <c r="B323" s="18" t="s">
        <v>180</v>
      </c>
      <c r="C323" s="19" t="s">
        <v>177</v>
      </c>
      <c r="D323" s="20">
        <v>53</v>
      </c>
      <c r="E323" s="13"/>
      <c r="F323" s="13"/>
      <c r="G323" s="14"/>
    </row>
    <row r="324" spans="1:7" s="5" customFormat="1" ht="51">
      <c r="A324" s="29">
        <f t="shared" si="10"/>
        <v>8.111999999999998</v>
      </c>
      <c r="B324" s="18" t="s">
        <v>181</v>
      </c>
      <c r="C324" s="19" t="s">
        <v>177</v>
      </c>
      <c r="D324" s="20">
        <v>6</v>
      </c>
      <c r="E324" s="13"/>
      <c r="F324" s="13"/>
      <c r="G324" s="14"/>
    </row>
    <row r="325" spans="1:7" s="5" customFormat="1" ht="51">
      <c r="A325" s="29">
        <f t="shared" si="10"/>
        <v>8.112999999999998</v>
      </c>
      <c r="B325" s="18" t="s">
        <v>182</v>
      </c>
      <c r="C325" s="19" t="s">
        <v>177</v>
      </c>
      <c r="D325" s="20">
        <v>13</v>
      </c>
      <c r="E325" s="13"/>
      <c r="F325" s="13"/>
      <c r="G325" s="14"/>
    </row>
    <row r="326" spans="1:7" s="5" customFormat="1" ht="51">
      <c r="A326" s="29">
        <f t="shared" si="10"/>
        <v>8.113999999999997</v>
      </c>
      <c r="B326" s="18" t="s">
        <v>183</v>
      </c>
      <c r="C326" s="19" t="s">
        <v>177</v>
      </c>
      <c r="D326" s="20">
        <v>1</v>
      </c>
      <c r="E326" s="13"/>
      <c r="F326" s="13"/>
      <c r="G326" s="14"/>
    </row>
    <row r="327" spans="1:7" s="5" customFormat="1" ht="63.75">
      <c r="A327" s="29">
        <f t="shared" si="10"/>
        <v>8.114999999999997</v>
      </c>
      <c r="B327" s="18" t="s">
        <v>184</v>
      </c>
      <c r="C327" s="19" t="s">
        <v>177</v>
      </c>
      <c r="D327" s="20">
        <v>4</v>
      </c>
      <c r="E327" s="13"/>
      <c r="F327" s="13"/>
      <c r="G327" s="14"/>
    </row>
    <row r="328" spans="1:7" s="5" customFormat="1" ht="63.75">
      <c r="A328" s="29">
        <f t="shared" si="10"/>
        <v>8.115999999999996</v>
      </c>
      <c r="B328" s="18" t="s">
        <v>185</v>
      </c>
      <c r="C328" s="19" t="s">
        <v>177</v>
      </c>
      <c r="D328" s="20">
        <v>14</v>
      </c>
      <c r="E328" s="13"/>
      <c r="F328" s="13"/>
      <c r="G328" s="14"/>
    </row>
    <row r="329" spans="1:7" s="5" customFormat="1" ht="25.5">
      <c r="A329" s="29">
        <f t="shared" si="10"/>
        <v>8.116999999999996</v>
      </c>
      <c r="B329" s="18" t="s">
        <v>186</v>
      </c>
      <c r="C329" s="19" t="s">
        <v>177</v>
      </c>
      <c r="D329" s="20">
        <v>14</v>
      </c>
      <c r="E329" s="13"/>
      <c r="F329" s="13"/>
      <c r="G329" s="14"/>
    </row>
    <row r="330" spans="1:7" s="5" customFormat="1" ht="63.75">
      <c r="A330" s="29">
        <f t="shared" si="10"/>
        <v>8.117999999999995</v>
      </c>
      <c r="B330" s="18" t="s">
        <v>187</v>
      </c>
      <c r="C330" s="19" t="s">
        <v>177</v>
      </c>
      <c r="D330" s="20">
        <v>9</v>
      </c>
      <c r="E330" s="13"/>
      <c r="F330" s="13"/>
      <c r="G330" s="14"/>
    </row>
    <row r="331" spans="1:7" s="5" customFormat="1" ht="38.25">
      <c r="A331" s="29">
        <f t="shared" si="10"/>
        <v>8.118999999999994</v>
      </c>
      <c r="B331" s="18" t="s">
        <v>188</v>
      </c>
      <c r="C331" s="19" t="s">
        <v>177</v>
      </c>
      <c r="D331" s="20">
        <v>2</v>
      </c>
      <c r="E331" s="13"/>
      <c r="F331" s="13"/>
      <c r="G331" s="14"/>
    </row>
    <row r="332" spans="1:7" s="5" customFormat="1" ht="38.25">
      <c r="A332" s="29">
        <f t="shared" si="10"/>
        <v>8.119999999999994</v>
      </c>
      <c r="B332" s="18" t="s">
        <v>189</v>
      </c>
      <c r="C332" s="19" t="s">
        <v>177</v>
      </c>
      <c r="D332" s="20">
        <v>2</v>
      </c>
      <c r="E332" s="13"/>
      <c r="F332" s="13"/>
      <c r="G332" s="14"/>
    </row>
    <row r="333" spans="1:7" s="5" customFormat="1" ht="38.25">
      <c r="A333" s="29">
        <f t="shared" si="10"/>
        <v>8.120999999999993</v>
      </c>
      <c r="B333" s="18" t="s">
        <v>190</v>
      </c>
      <c r="C333" s="19" t="s">
        <v>177</v>
      </c>
      <c r="D333" s="20">
        <v>2</v>
      </c>
      <c r="E333" s="13"/>
      <c r="F333" s="13"/>
      <c r="G333" s="14"/>
    </row>
    <row r="334" spans="1:7" s="5" customFormat="1" ht="38.25">
      <c r="A334" s="29">
        <f t="shared" si="10"/>
        <v>8.121999999999993</v>
      </c>
      <c r="B334" s="18" t="s">
        <v>191</v>
      </c>
      <c r="C334" s="19" t="s">
        <v>177</v>
      </c>
      <c r="D334" s="20">
        <v>1</v>
      </c>
      <c r="E334" s="13"/>
      <c r="F334" s="13"/>
      <c r="G334" s="14"/>
    </row>
    <row r="335" spans="1:7" s="5" customFormat="1" ht="25.5">
      <c r="A335" s="29">
        <f t="shared" si="10"/>
        <v>8.122999999999992</v>
      </c>
      <c r="B335" s="18" t="s">
        <v>192</v>
      </c>
      <c r="C335" s="19" t="s">
        <v>177</v>
      </c>
      <c r="D335" s="20">
        <v>1</v>
      </c>
      <c r="E335" s="13"/>
      <c r="F335" s="13"/>
      <c r="G335" s="14"/>
    </row>
    <row r="336" spans="1:7" s="5" customFormat="1" ht="25.5">
      <c r="A336" s="29">
        <f t="shared" si="10"/>
        <v>8.123999999999992</v>
      </c>
      <c r="B336" s="18" t="s">
        <v>193</v>
      </c>
      <c r="C336" s="19" t="s">
        <v>177</v>
      </c>
      <c r="D336" s="20">
        <v>1</v>
      </c>
      <c r="E336" s="13"/>
      <c r="F336" s="13"/>
      <c r="G336" s="14"/>
    </row>
    <row r="337" spans="1:7" s="5" customFormat="1" ht="51">
      <c r="A337" s="29">
        <f t="shared" si="10"/>
        <v>8.124999999999991</v>
      </c>
      <c r="B337" s="18" t="s">
        <v>194</v>
      </c>
      <c r="C337" s="19" t="s">
        <v>177</v>
      </c>
      <c r="D337" s="20">
        <v>1</v>
      </c>
      <c r="E337" s="13"/>
      <c r="F337" s="13"/>
      <c r="G337" s="14"/>
    </row>
    <row r="338" spans="1:7" s="5" customFormat="1" ht="25.5">
      <c r="A338" s="29">
        <f t="shared" si="10"/>
        <v>8.12599999999999</v>
      </c>
      <c r="B338" s="18" t="s">
        <v>195</v>
      </c>
      <c r="C338" s="19" t="s">
        <v>177</v>
      </c>
      <c r="D338" s="20">
        <v>1</v>
      </c>
      <c r="E338" s="13"/>
      <c r="F338" s="13"/>
      <c r="G338" s="14"/>
    </row>
    <row r="339" spans="1:7" s="5" customFormat="1" ht="25.5">
      <c r="A339" s="29">
        <f t="shared" si="10"/>
        <v>8.12699999999999</v>
      </c>
      <c r="B339" s="18" t="s">
        <v>196</v>
      </c>
      <c r="C339" s="19" t="s">
        <v>177</v>
      </c>
      <c r="D339" s="20">
        <v>2</v>
      </c>
      <c r="E339" s="13"/>
      <c r="F339" s="13"/>
      <c r="G339" s="14"/>
    </row>
    <row r="340" spans="1:7" s="5" customFormat="1" ht="25.5">
      <c r="A340" s="29">
        <f t="shared" si="10"/>
        <v>8.12799999999999</v>
      </c>
      <c r="B340" s="18" t="s">
        <v>197</v>
      </c>
      <c r="C340" s="19" t="s">
        <v>177</v>
      </c>
      <c r="D340" s="20">
        <v>1</v>
      </c>
      <c r="E340" s="13"/>
      <c r="F340" s="13"/>
      <c r="G340" s="14"/>
    </row>
    <row r="341" spans="1:7" s="5" customFormat="1" ht="51">
      <c r="A341" s="29">
        <f t="shared" si="10"/>
        <v>8.128999999999989</v>
      </c>
      <c r="B341" s="18" t="s">
        <v>198</v>
      </c>
      <c r="C341" s="19" t="s">
        <v>177</v>
      </c>
      <c r="D341" s="20">
        <v>1</v>
      </c>
      <c r="E341" s="13"/>
      <c r="F341" s="13"/>
      <c r="G341" s="14"/>
    </row>
    <row r="342" spans="1:7" s="5" customFormat="1" ht="51">
      <c r="A342" s="29">
        <f t="shared" si="10"/>
        <v>8.129999999999988</v>
      </c>
      <c r="B342" s="18" t="s">
        <v>199</v>
      </c>
      <c r="C342" s="19" t="s">
        <v>200</v>
      </c>
      <c r="D342" s="20">
        <v>298.48</v>
      </c>
      <c r="E342" s="13"/>
      <c r="F342" s="13"/>
      <c r="G342" s="14"/>
    </row>
    <row r="343" spans="1:7" s="5" customFormat="1" ht="15">
      <c r="A343" s="29"/>
      <c r="B343" s="21" t="s">
        <v>684</v>
      </c>
      <c r="C343" s="19"/>
      <c r="D343" s="20"/>
      <c r="E343" s="13"/>
      <c r="F343" s="13"/>
      <c r="G343" s="14"/>
    </row>
    <row r="344" spans="1:7" s="5" customFormat="1" ht="12.75">
      <c r="A344" s="29">
        <v>8.131</v>
      </c>
      <c r="B344" s="18" t="s">
        <v>171</v>
      </c>
      <c r="C344" s="19" t="s">
        <v>10</v>
      </c>
      <c r="D344" s="20">
        <v>573.55588</v>
      </c>
      <c r="E344" s="13"/>
      <c r="F344" s="13"/>
      <c r="G344" s="14"/>
    </row>
    <row r="345" spans="1:7" s="5" customFormat="1" ht="12.75">
      <c r="A345" s="29">
        <f t="shared" si="10"/>
        <v>8.132</v>
      </c>
      <c r="B345" s="18" t="s">
        <v>172</v>
      </c>
      <c r="C345" s="19" t="s">
        <v>10</v>
      </c>
      <c r="D345" s="20">
        <v>573.55588</v>
      </c>
      <c r="E345" s="13"/>
      <c r="F345" s="13"/>
      <c r="G345" s="14"/>
    </row>
    <row r="346" spans="1:7" s="5" customFormat="1" ht="12.75">
      <c r="A346" s="29">
        <f t="shared" si="10"/>
        <v>8.133</v>
      </c>
      <c r="B346" s="18" t="s">
        <v>173</v>
      </c>
      <c r="C346" s="19" t="s">
        <v>10</v>
      </c>
      <c r="D346" s="20">
        <v>60.77</v>
      </c>
      <c r="E346" s="13"/>
      <c r="F346" s="13"/>
      <c r="G346" s="14"/>
    </row>
    <row r="347" spans="1:7" s="5" customFormat="1" ht="12.75">
      <c r="A347" s="29">
        <f t="shared" si="10"/>
        <v>8.133999999999999</v>
      </c>
      <c r="B347" s="18" t="s">
        <v>174</v>
      </c>
      <c r="C347" s="19" t="s">
        <v>10</v>
      </c>
      <c r="D347" s="20">
        <v>181.612396607811</v>
      </c>
      <c r="E347" s="13"/>
      <c r="F347" s="13"/>
      <c r="G347" s="14"/>
    </row>
    <row r="348" spans="1:7" s="5" customFormat="1" ht="13.5" thickBot="1">
      <c r="A348" s="29"/>
      <c r="B348" s="18"/>
      <c r="C348" s="19"/>
      <c r="D348" s="20"/>
      <c r="E348" s="13"/>
      <c r="F348" s="13"/>
      <c r="G348" s="14"/>
    </row>
    <row r="349" spans="1:7" s="5" customFormat="1" ht="13.5" thickBot="1">
      <c r="A349" s="29"/>
      <c r="B349" s="6"/>
      <c r="C349" s="23"/>
      <c r="D349" s="10"/>
      <c r="E349" s="71" t="str">
        <f>+B170</f>
        <v>CONSTRUCCION DE COCINA - COMEDOR  (Tipo 3-R)</v>
      </c>
      <c r="F349" s="72"/>
      <c r="G349" s="16">
        <f>SUM(F171:F347)</f>
        <v>0</v>
      </c>
    </row>
    <row r="350" spans="1:7" s="5" customFormat="1" ht="13.5" thickBot="1">
      <c r="A350" s="29"/>
      <c r="B350" s="6"/>
      <c r="C350" s="23"/>
      <c r="D350" s="10"/>
      <c r="E350" s="13"/>
      <c r="F350" s="13"/>
      <c r="G350" s="14"/>
    </row>
    <row r="351" spans="1:7" s="5" customFormat="1" ht="16.5" thickBot="1">
      <c r="A351" s="28">
        <v>9</v>
      </c>
      <c r="B351" s="61" t="s">
        <v>263</v>
      </c>
      <c r="C351" s="23"/>
      <c r="D351" s="10"/>
      <c r="E351" s="13"/>
      <c r="F351" s="13"/>
      <c r="G351" s="14"/>
    </row>
    <row r="352" spans="1:7" s="5" customFormat="1" ht="12.75">
      <c r="A352" s="29">
        <f>+A351+0.001</f>
        <v>9.001</v>
      </c>
      <c r="B352" s="6" t="s">
        <v>396</v>
      </c>
      <c r="C352" s="23" t="s">
        <v>10</v>
      </c>
      <c r="D352" s="10">
        <f>19*12</f>
        <v>228</v>
      </c>
      <c r="E352" s="13"/>
      <c r="F352" s="13"/>
      <c r="G352" s="14"/>
    </row>
    <row r="353" spans="1:7" s="5" customFormat="1" ht="15">
      <c r="A353" s="29"/>
      <c r="B353" s="21" t="s">
        <v>265</v>
      </c>
      <c r="C353" s="23"/>
      <c r="D353" s="10"/>
      <c r="E353" s="13"/>
      <c r="F353" s="13"/>
      <c r="G353" s="14"/>
    </row>
    <row r="354" spans="1:7" s="5" customFormat="1" ht="25.5">
      <c r="A354" s="29">
        <v>9.002</v>
      </c>
      <c r="B354" s="6" t="s">
        <v>344</v>
      </c>
      <c r="C354" s="23" t="s">
        <v>15</v>
      </c>
      <c r="D354" s="10">
        <f>43.59*0.45*1</f>
        <v>19.6155</v>
      </c>
      <c r="E354" s="13"/>
      <c r="F354" s="13"/>
      <c r="G354" s="14"/>
    </row>
    <row r="355" spans="1:7" s="5" customFormat="1" ht="25.5">
      <c r="A355" s="29">
        <f>+A354+0.001</f>
        <v>9.003</v>
      </c>
      <c r="B355" s="6" t="s">
        <v>345</v>
      </c>
      <c r="C355" s="23" t="s">
        <v>15</v>
      </c>
      <c r="D355" s="10">
        <f>100.14*0.6*1</f>
        <v>60.083999999999996</v>
      </c>
      <c r="E355" s="13"/>
      <c r="F355" s="13"/>
      <c r="G355" s="14"/>
    </row>
    <row r="356" spans="1:7" s="5" customFormat="1" ht="12.75">
      <c r="A356" s="29">
        <v>9.04</v>
      </c>
      <c r="B356" s="6" t="s">
        <v>267</v>
      </c>
      <c r="C356" s="23" t="s">
        <v>15</v>
      </c>
      <c r="D356" s="10">
        <v>31</v>
      </c>
      <c r="E356" s="13"/>
      <c r="F356" s="13"/>
      <c r="G356" s="14"/>
    </row>
    <row r="357" spans="1:7" s="5" customFormat="1" ht="12.75">
      <c r="A357" s="29">
        <v>9.006</v>
      </c>
      <c r="B357" s="6" t="s">
        <v>269</v>
      </c>
      <c r="C357" s="23" t="s">
        <v>50</v>
      </c>
      <c r="D357" s="10">
        <f>SUM(D354:D356)</f>
        <v>110.6995</v>
      </c>
      <c r="E357" s="13"/>
      <c r="F357" s="13"/>
      <c r="G357" s="14"/>
    </row>
    <row r="358" spans="1:7" s="5" customFormat="1" ht="12.75">
      <c r="A358" s="29">
        <f aca="true" t="shared" si="11" ref="A358:A421">+A357+0.001</f>
        <v>9.007</v>
      </c>
      <c r="B358" s="6" t="s">
        <v>270</v>
      </c>
      <c r="C358" s="23" t="s">
        <v>16</v>
      </c>
      <c r="D358" s="10">
        <f>+D357*0.4</f>
        <v>44.2798</v>
      </c>
      <c r="E358" s="13"/>
      <c r="F358" s="13"/>
      <c r="G358" s="14"/>
    </row>
    <row r="359" spans="1:7" s="5" customFormat="1" ht="15">
      <c r="A359" s="29"/>
      <c r="B359" s="21" t="s">
        <v>271</v>
      </c>
      <c r="C359" s="23"/>
      <c r="D359" s="10"/>
      <c r="E359" s="13"/>
      <c r="F359" s="13"/>
      <c r="G359" s="14"/>
    </row>
    <row r="360" spans="1:7" s="5" customFormat="1" ht="12.75">
      <c r="A360" s="29">
        <v>9.008</v>
      </c>
      <c r="B360" s="6" t="s">
        <v>346</v>
      </c>
      <c r="C360" s="23" t="s">
        <v>0</v>
      </c>
      <c r="D360" s="10">
        <f>43.59*0.45*0.3</f>
        <v>5.88465</v>
      </c>
      <c r="E360" s="13"/>
      <c r="F360" s="13"/>
      <c r="G360" s="14"/>
    </row>
    <row r="361" spans="1:7" s="5" customFormat="1" ht="12.75">
      <c r="A361" s="29">
        <f>+A360+0.001</f>
        <v>9.008999999999999</v>
      </c>
      <c r="B361" s="6" t="s">
        <v>273</v>
      </c>
      <c r="C361" s="23" t="s">
        <v>0</v>
      </c>
      <c r="D361" s="10">
        <f>100.14*0.8*0.3</f>
        <v>24.033600000000003</v>
      </c>
      <c r="E361" s="13"/>
      <c r="F361" s="13"/>
      <c r="G361" s="14"/>
    </row>
    <row r="362" spans="1:7" s="5" customFormat="1" ht="12.75">
      <c r="A362" s="29">
        <f t="shared" si="11"/>
        <v>9.009999999999998</v>
      </c>
      <c r="B362" s="6" t="s">
        <v>275</v>
      </c>
      <c r="C362" s="23" t="s">
        <v>0</v>
      </c>
      <c r="D362" s="10">
        <f>1.55*1*20*0.3</f>
        <v>9.299999999999999</v>
      </c>
      <c r="E362" s="13"/>
      <c r="F362" s="13"/>
      <c r="G362" s="14"/>
    </row>
    <row r="363" spans="1:7" s="5" customFormat="1" ht="15">
      <c r="A363" s="29"/>
      <c r="B363" s="21" t="s">
        <v>388</v>
      </c>
      <c r="C363" s="23"/>
      <c r="D363" s="10"/>
      <c r="E363" s="13"/>
      <c r="F363" s="13"/>
      <c r="G363" s="14"/>
    </row>
    <row r="364" spans="1:7" s="5" customFormat="1" ht="12.75">
      <c r="A364" s="29">
        <v>9.011</v>
      </c>
      <c r="B364" s="6" t="s">
        <v>347</v>
      </c>
      <c r="C364" s="23" t="s">
        <v>0</v>
      </c>
      <c r="D364" s="10">
        <f>40*0.15*0.2*3.8</f>
        <v>4.5600000000000005</v>
      </c>
      <c r="E364" s="13"/>
      <c r="F364" s="13"/>
      <c r="G364" s="14"/>
    </row>
    <row r="365" spans="1:7" s="5" customFormat="1" ht="12.75">
      <c r="A365" s="29">
        <f t="shared" si="11"/>
        <v>9.011999999999999</v>
      </c>
      <c r="B365" s="6" t="s">
        <v>278</v>
      </c>
      <c r="C365" s="23" t="s">
        <v>0</v>
      </c>
      <c r="D365" s="10">
        <f>0.4*0.2*3.8*16</f>
        <v>4.864000000000001</v>
      </c>
      <c r="E365" s="13"/>
      <c r="F365" s="13"/>
      <c r="G365" s="14"/>
    </row>
    <row r="366" spans="1:7" s="5" customFormat="1" ht="12.75">
      <c r="A366" s="29">
        <f t="shared" si="11"/>
        <v>9.012999999999998</v>
      </c>
      <c r="B366" s="6" t="s">
        <v>260</v>
      </c>
      <c r="C366" s="23" t="s">
        <v>0</v>
      </c>
      <c r="D366" s="10">
        <f>7*0.2*0.15*3.8</f>
        <v>0.798</v>
      </c>
      <c r="E366" s="13"/>
      <c r="F366" s="13"/>
      <c r="G366" s="14"/>
    </row>
    <row r="367" spans="1:7" s="5" customFormat="1" ht="12.75">
      <c r="A367" s="29">
        <f t="shared" si="11"/>
        <v>9.013999999999998</v>
      </c>
      <c r="B367" s="6" t="s">
        <v>261</v>
      </c>
      <c r="C367" s="23" t="s">
        <v>0</v>
      </c>
      <c r="D367" s="10">
        <f>0.2*0.2*3.8*3</f>
        <v>0.45600000000000007</v>
      </c>
      <c r="E367" s="13"/>
      <c r="F367" s="13"/>
      <c r="G367" s="14"/>
    </row>
    <row r="368" spans="1:7" s="5" customFormat="1" ht="12.75">
      <c r="A368" s="29">
        <f t="shared" si="11"/>
        <v>9.014999999999997</v>
      </c>
      <c r="B368" s="6" t="s">
        <v>350</v>
      </c>
      <c r="C368" s="23" t="s">
        <v>0</v>
      </c>
      <c r="D368" s="10">
        <f>6.8*2*0.2*0.5</f>
        <v>1.36</v>
      </c>
      <c r="E368" s="13"/>
      <c r="F368" s="13"/>
      <c r="G368" s="14"/>
    </row>
    <row r="369" spans="1:7" s="5" customFormat="1" ht="12.75">
      <c r="A369" s="29">
        <f t="shared" si="11"/>
        <v>9.015999999999996</v>
      </c>
      <c r="B369" s="6" t="s">
        <v>351</v>
      </c>
      <c r="C369" s="23" t="s">
        <v>0</v>
      </c>
      <c r="D369" s="10">
        <f>+(57.94*0.2*0.32)*1.08</f>
        <v>4.004812800000001</v>
      </c>
      <c r="E369" s="13"/>
      <c r="F369" s="13"/>
      <c r="G369" s="14"/>
    </row>
    <row r="370" spans="1:7" s="5" customFormat="1" ht="12.75">
      <c r="A370" s="29">
        <f t="shared" si="11"/>
        <v>9.016999999999996</v>
      </c>
      <c r="B370" s="6" t="s">
        <v>353</v>
      </c>
      <c r="C370" s="23" t="s">
        <v>0</v>
      </c>
      <c r="D370" s="10">
        <f>36*0.2*0.6</f>
        <v>4.32</v>
      </c>
      <c r="E370" s="13"/>
      <c r="F370" s="13"/>
      <c r="G370" s="14"/>
    </row>
    <row r="371" spans="1:7" s="5" customFormat="1" ht="12.75">
      <c r="A371" s="29">
        <f t="shared" si="11"/>
        <v>9.017999999999995</v>
      </c>
      <c r="B371" s="6" t="s">
        <v>352</v>
      </c>
      <c r="C371" s="23" t="s">
        <v>0</v>
      </c>
      <c r="D371" s="10">
        <f>39*0.2*0.32</f>
        <v>2.4960000000000004</v>
      </c>
      <c r="E371" s="13"/>
      <c r="F371" s="13"/>
      <c r="G371" s="14"/>
    </row>
    <row r="372" spans="1:7" s="5" customFormat="1" ht="12.75">
      <c r="A372" s="29">
        <f t="shared" si="11"/>
        <v>9.018999999999995</v>
      </c>
      <c r="B372" s="6" t="s">
        <v>349</v>
      </c>
      <c r="C372" s="23" t="s">
        <v>0</v>
      </c>
      <c r="D372" s="10">
        <f>13*1.4*0.2*0.2</f>
        <v>0.7280000000000001</v>
      </c>
      <c r="E372" s="13"/>
      <c r="F372" s="13"/>
      <c r="G372" s="14"/>
    </row>
    <row r="373" spans="1:7" s="5" customFormat="1" ht="12.75">
      <c r="A373" s="29">
        <f t="shared" si="11"/>
        <v>9.019999999999994</v>
      </c>
      <c r="B373" s="6" t="s">
        <v>402</v>
      </c>
      <c r="C373" s="23" t="s">
        <v>0</v>
      </c>
      <c r="D373" s="10">
        <f>73.3*0.12</f>
        <v>8.796</v>
      </c>
      <c r="E373" s="13"/>
      <c r="F373" s="13"/>
      <c r="G373" s="14"/>
    </row>
    <row r="374" spans="1:7" s="5" customFormat="1" ht="15">
      <c r="A374" s="29"/>
      <c r="B374" s="21" t="s">
        <v>288</v>
      </c>
      <c r="C374" s="23"/>
      <c r="D374" s="10"/>
      <c r="E374" s="13"/>
      <c r="F374" s="13"/>
      <c r="G374" s="14"/>
    </row>
    <row r="375" spans="1:7" s="5" customFormat="1" ht="12.75">
      <c r="A375" s="29">
        <v>9.021</v>
      </c>
      <c r="B375" s="6" t="s">
        <v>289</v>
      </c>
      <c r="C375" s="23" t="s">
        <v>10</v>
      </c>
      <c r="D375" s="10">
        <v>73.3</v>
      </c>
      <c r="E375" s="13"/>
      <c r="F375" s="13"/>
      <c r="G375" s="14"/>
    </row>
    <row r="376" spans="1:7" s="5" customFormat="1" ht="12.75">
      <c r="A376" s="29">
        <f t="shared" si="11"/>
        <v>9.022</v>
      </c>
      <c r="B376" s="6" t="s">
        <v>290</v>
      </c>
      <c r="C376" s="23" t="s">
        <v>11</v>
      </c>
      <c r="D376" s="10">
        <f>10.4*4</f>
        <v>41.6</v>
      </c>
      <c r="E376" s="13"/>
      <c r="F376" s="13"/>
      <c r="G376" s="14"/>
    </row>
    <row r="377" spans="1:7" s="5" customFormat="1" ht="12.75">
      <c r="A377" s="29">
        <f t="shared" si="11"/>
        <v>9.023</v>
      </c>
      <c r="B377" s="6" t="s">
        <v>291</v>
      </c>
      <c r="C377" s="23" t="s">
        <v>10</v>
      </c>
      <c r="D377" s="10">
        <f>+D375</f>
        <v>73.3</v>
      </c>
      <c r="E377" s="13"/>
      <c r="F377" s="13"/>
      <c r="G377" s="14"/>
    </row>
    <row r="378" spans="1:7" s="5" customFormat="1" ht="15">
      <c r="A378" s="29"/>
      <c r="B378" s="21" t="s">
        <v>296</v>
      </c>
      <c r="C378" s="23"/>
      <c r="D378" s="10"/>
      <c r="E378" s="13"/>
      <c r="F378" s="13"/>
      <c r="G378" s="14"/>
    </row>
    <row r="379" spans="1:7" s="5" customFormat="1" ht="12.75">
      <c r="A379" s="29">
        <v>9.024</v>
      </c>
      <c r="B379" s="6" t="s">
        <v>354</v>
      </c>
      <c r="C379" s="23" t="s">
        <v>10</v>
      </c>
      <c r="D379" s="10">
        <f>83.55*0.8</f>
        <v>66.84</v>
      </c>
      <c r="E379" s="13"/>
      <c r="F379" s="13"/>
      <c r="G379" s="14"/>
    </row>
    <row r="380" spans="1:7" s="5" customFormat="1" ht="12.75">
      <c r="A380" s="29">
        <f t="shared" si="11"/>
        <v>9.024999999999999</v>
      </c>
      <c r="B380" s="6" t="s">
        <v>355</v>
      </c>
      <c r="C380" s="23" t="s">
        <v>10</v>
      </c>
      <c r="D380" s="10">
        <f>63.2*0.6</f>
        <v>37.92</v>
      </c>
      <c r="E380" s="13"/>
      <c r="F380" s="13"/>
      <c r="G380" s="14"/>
    </row>
    <row r="381" spans="1:7" s="5" customFormat="1" ht="12.75">
      <c r="A381" s="29">
        <f t="shared" si="11"/>
        <v>9.025999999999998</v>
      </c>
      <c r="B381" s="6" t="s">
        <v>357</v>
      </c>
      <c r="C381" s="23" t="s">
        <v>10</v>
      </c>
      <c r="D381" s="10">
        <v>206.2</v>
      </c>
      <c r="E381" s="13"/>
      <c r="F381" s="13"/>
      <c r="G381" s="14"/>
    </row>
    <row r="382" spans="1:7" s="5" customFormat="1" ht="12.75">
      <c r="A382" s="29">
        <f t="shared" si="11"/>
        <v>9.026999999999997</v>
      </c>
      <c r="B382" s="6" t="s">
        <v>356</v>
      </c>
      <c r="C382" s="23" t="s">
        <v>10</v>
      </c>
      <c r="D382" s="10">
        <v>101</v>
      </c>
      <c r="E382" s="13"/>
      <c r="F382" s="13"/>
      <c r="G382" s="14"/>
    </row>
    <row r="383" spans="1:7" s="5" customFormat="1" ht="15">
      <c r="A383" s="29"/>
      <c r="B383" s="21" t="s">
        <v>292</v>
      </c>
      <c r="C383" s="23"/>
      <c r="D383" s="10"/>
      <c r="E383" s="13"/>
      <c r="F383" s="13"/>
      <c r="G383" s="14"/>
    </row>
    <row r="384" spans="1:7" s="5" customFormat="1" ht="12.75">
      <c r="A384" s="29">
        <v>9.028</v>
      </c>
      <c r="B384" s="6" t="s">
        <v>262</v>
      </c>
      <c r="C384" s="23" t="s">
        <v>10</v>
      </c>
      <c r="D384" s="10">
        <f>SUM(D381:D382)*2</f>
        <v>614.4</v>
      </c>
      <c r="E384" s="13"/>
      <c r="F384" s="13"/>
      <c r="G384" s="14"/>
    </row>
    <row r="385" spans="1:7" s="5" customFormat="1" ht="12.75">
      <c r="A385" s="29">
        <f t="shared" si="11"/>
        <v>9.029</v>
      </c>
      <c r="B385" s="6" t="s">
        <v>293</v>
      </c>
      <c r="C385" s="23" t="s">
        <v>10</v>
      </c>
      <c r="D385" s="10">
        <f>+D384</f>
        <v>614.4</v>
      </c>
      <c r="E385" s="13"/>
      <c r="F385" s="13"/>
      <c r="G385" s="14"/>
    </row>
    <row r="386" spans="1:7" s="5" customFormat="1" ht="12.75">
      <c r="A386" s="29">
        <f t="shared" si="11"/>
        <v>9.03</v>
      </c>
      <c r="B386" s="18" t="s">
        <v>309</v>
      </c>
      <c r="C386" s="23" t="s">
        <v>11</v>
      </c>
      <c r="D386" s="10">
        <v>525</v>
      </c>
      <c r="E386" s="13"/>
      <c r="F386" s="13"/>
      <c r="G386" s="14"/>
    </row>
    <row r="387" spans="1:7" s="5" customFormat="1" ht="12.75">
      <c r="A387" s="29">
        <f t="shared" si="11"/>
        <v>9.030999999999999</v>
      </c>
      <c r="B387" s="6" t="s">
        <v>361</v>
      </c>
      <c r="C387" s="23" t="s">
        <v>10</v>
      </c>
      <c r="D387" s="10">
        <v>58</v>
      </c>
      <c r="E387" s="13"/>
      <c r="F387" s="13"/>
      <c r="G387" s="14"/>
    </row>
    <row r="388" spans="1:7" s="5" customFormat="1" ht="12.75">
      <c r="A388" s="29">
        <f t="shared" si="11"/>
        <v>9.031999999999998</v>
      </c>
      <c r="B388" s="6" t="s">
        <v>360</v>
      </c>
      <c r="C388" s="23" t="s">
        <v>10</v>
      </c>
      <c r="D388" s="10">
        <f>6.2*0.8</f>
        <v>4.960000000000001</v>
      </c>
      <c r="E388" s="13"/>
      <c r="F388" s="13"/>
      <c r="G388" s="14"/>
    </row>
    <row r="389" spans="1:7" s="5" customFormat="1" ht="12.75">
      <c r="A389" s="29">
        <f t="shared" si="11"/>
        <v>9.032999999999998</v>
      </c>
      <c r="B389" s="6" t="s">
        <v>299</v>
      </c>
      <c r="C389" s="23" t="s">
        <v>10</v>
      </c>
      <c r="D389" s="10">
        <v>38.02</v>
      </c>
      <c r="E389" s="13"/>
      <c r="F389" s="13"/>
      <c r="G389" s="14"/>
    </row>
    <row r="390" spans="1:7" s="5" customFormat="1" ht="12.75">
      <c r="A390" s="29">
        <f t="shared" si="11"/>
        <v>9.033999999999997</v>
      </c>
      <c r="B390" s="6" t="s">
        <v>300</v>
      </c>
      <c r="C390" s="23" t="s">
        <v>11</v>
      </c>
      <c r="D390" s="10">
        <f>9.2*6</f>
        <v>55.199999999999996</v>
      </c>
      <c r="E390" s="13"/>
      <c r="F390" s="13"/>
      <c r="G390" s="14"/>
    </row>
    <row r="391" spans="1:7" s="5" customFormat="1" ht="15">
      <c r="A391" s="29"/>
      <c r="B391" s="21" t="s">
        <v>316</v>
      </c>
      <c r="C391" s="23"/>
      <c r="D391" s="10"/>
      <c r="E391" s="13"/>
      <c r="F391" s="13"/>
      <c r="G391" s="14"/>
    </row>
    <row r="392" spans="1:7" s="5" customFormat="1" ht="25.5">
      <c r="A392" s="29">
        <v>9.035</v>
      </c>
      <c r="B392" s="6" t="s">
        <v>362</v>
      </c>
      <c r="C392" s="23" t="s">
        <v>10</v>
      </c>
      <c r="D392" s="10">
        <v>200</v>
      </c>
      <c r="E392" s="13"/>
      <c r="F392" s="13"/>
      <c r="G392" s="14"/>
    </row>
    <row r="393" spans="1:7" s="5" customFormat="1" ht="12.75">
      <c r="A393" s="29">
        <f t="shared" si="11"/>
        <v>9.036</v>
      </c>
      <c r="B393" s="6" t="s">
        <v>359</v>
      </c>
      <c r="C393" s="23" t="s">
        <v>11</v>
      </c>
      <c r="D393" s="10">
        <v>35.8</v>
      </c>
      <c r="E393" s="13"/>
      <c r="F393" s="13"/>
      <c r="G393" s="14"/>
    </row>
    <row r="394" spans="1:7" s="5" customFormat="1" ht="12.75">
      <c r="A394" s="29">
        <f t="shared" si="11"/>
        <v>9.036999999999999</v>
      </c>
      <c r="B394" s="6" t="s">
        <v>358</v>
      </c>
      <c r="C394" s="23" t="s">
        <v>11</v>
      </c>
      <c r="D394" s="10">
        <v>116</v>
      </c>
      <c r="E394" s="13"/>
      <c r="F394" s="13"/>
      <c r="G394" s="14"/>
    </row>
    <row r="395" spans="1:7" s="5" customFormat="1" ht="12.75">
      <c r="A395" s="29">
        <f t="shared" si="11"/>
        <v>9.037999999999998</v>
      </c>
      <c r="B395" s="6" t="s">
        <v>320</v>
      </c>
      <c r="C395" s="23" t="s">
        <v>11</v>
      </c>
      <c r="D395" s="10">
        <f>9.2*4</f>
        <v>36.8</v>
      </c>
      <c r="E395" s="13"/>
      <c r="F395" s="13"/>
      <c r="G395" s="14"/>
    </row>
    <row r="396" spans="1:7" s="5" customFormat="1" ht="12.75">
      <c r="A396" s="29">
        <f t="shared" si="11"/>
        <v>9.038999999999998</v>
      </c>
      <c r="B396" s="6" t="s">
        <v>318</v>
      </c>
      <c r="C396" s="23" t="s">
        <v>319</v>
      </c>
      <c r="D396" s="10">
        <v>1</v>
      </c>
      <c r="E396" s="13"/>
      <c r="F396" s="13"/>
      <c r="G396" s="14"/>
    </row>
    <row r="397" spans="1:7" s="5" customFormat="1" ht="15">
      <c r="A397" s="29"/>
      <c r="B397" s="21" t="s">
        <v>322</v>
      </c>
      <c r="C397" s="23"/>
      <c r="D397" s="10"/>
      <c r="E397" s="13"/>
      <c r="F397" s="13"/>
      <c r="G397" s="14"/>
    </row>
    <row r="398" spans="1:7" s="5" customFormat="1" ht="12.75">
      <c r="A398" s="29">
        <v>9.04</v>
      </c>
      <c r="B398" s="6" t="s">
        <v>348</v>
      </c>
      <c r="C398" s="23" t="s">
        <v>0</v>
      </c>
      <c r="D398" s="10">
        <f>+D399</f>
        <v>246.862</v>
      </c>
      <c r="E398" s="13"/>
      <c r="F398" s="13"/>
      <c r="G398" s="14"/>
    </row>
    <row r="399" spans="1:7" s="5" customFormat="1" ht="12.75">
      <c r="A399" s="29">
        <f t="shared" si="11"/>
        <v>9.040999999999999</v>
      </c>
      <c r="B399" s="6" t="s">
        <v>325</v>
      </c>
      <c r="C399" s="23" t="s">
        <v>10</v>
      </c>
      <c r="D399" s="10">
        <f>224.42*1.1</f>
        <v>246.862</v>
      </c>
      <c r="E399" s="13"/>
      <c r="F399" s="13"/>
      <c r="G399" s="14"/>
    </row>
    <row r="400" spans="1:7" s="5" customFormat="1" ht="12.75">
      <c r="A400" s="29">
        <f t="shared" si="11"/>
        <v>9.041999999999998</v>
      </c>
      <c r="B400" s="6" t="s">
        <v>323</v>
      </c>
      <c r="C400" s="23" t="s">
        <v>11</v>
      </c>
      <c r="D400" s="10">
        <f>162*2</f>
        <v>324</v>
      </c>
      <c r="E400" s="13"/>
      <c r="F400" s="13"/>
      <c r="G400" s="14"/>
    </row>
    <row r="401" spans="1:7" s="5" customFormat="1" ht="12.75">
      <c r="A401" s="29">
        <f t="shared" si="11"/>
        <v>9.042999999999997</v>
      </c>
      <c r="B401" s="6" t="s">
        <v>326</v>
      </c>
      <c r="C401" s="23" t="s">
        <v>10</v>
      </c>
      <c r="D401" s="10">
        <f>+D399+(D402*0.07)</f>
        <v>258.692</v>
      </c>
      <c r="E401" s="13"/>
      <c r="F401" s="13"/>
      <c r="G401" s="14"/>
    </row>
    <row r="402" spans="1:7" s="5" customFormat="1" ht="12.75">
      <c r="A402" s="29">
        <f t="shared" si="11"/>
        <v>9.043999999999997</v>
      </c>
      <c r="B402" s="6" t="s">
        <v>324</v>
      </c>
      <c r="C402" s="23" t="s">
        <v>11</v>
      </c>
      <c r="D402" s="10">
        <f>144+25</f>
        <v>169</v>
      </c>
      <c r="E402" s="13"/>
      <c r="F402" s="13"/>
      <c r="G402" s="14"/>
    </row>
    <row r="403" spans="1:7" s="5" customFormat="1" ht="15">
      <c r="A403" s="29"/>
      <c r="B403" s="21" t="s">
        <v>363</v>
      </c>
      <c r="C403" s="23"/>
      <c r="D403" s="10"/>
      <c r="E403" s="13"/>
      <c r="F403" s="13"/>
      <c r="G403" s="14"/>
    </row>
    <row r="404" spans="1:7" s="5" customFormat="1" ht="25.5">
      <c r="A404" s="29">
        <v>9.045</v>
      </c>
      <c r="B404" s="6" t="s">
        <v>598</v>
      </c>
      <c r="C404" s="23" t="s">
        <v>12</v>
      </c>
      <c r="D404" s="10">
        <v>1</v>
      </c>
      <c r="E404" s="13"/>
      <c r="F404" s="13"/>
      <c r="G404" s="14"/>
    </row>
    <row r="405" spans="1:7" s="5" customFormat="1" ht="12.75">
      <c r="A405" s="29">
        <f t="shared" si="11"/>
        <v>9.046</v>
      </c>
      <c r="B405" s="6" t="s">
        <v>380</v>
      </c>
      <c r="C405" s="23" t="s">
        <v>12</v>
      </c>
      <c r="D405" s="10">
        <v>1</v>
      </c>
      <c r="E405" s="13"/>
      <c r="F405" s="13"/>
      <c r="G405" s="14"/>
    </row>
    <row r="406" spans="1:7" s="5" customFormat="1" ht="12.75">
      <c r="A406" s="29">
        <f t="shared" si="11"/>
        <v>9.046999999999999</v>
      </c>
      <c r="B406" s="6" t="s">
        <v>381</v>
      </c>
      <c r="C406" s="23" t="s">
        <v>12</v>
      </c>
      <c r="D406" s="10">
        <v>1</v>
      </c>
      <c r="E406" s="13"/>
      <c r="F406" s="13"/>
      <c r="G406" s="14"/>
    </row>
    <row r="407" spans="1:7" s="5" customFormat="1" ht="25.5">
      <c r="A407" s="29">
        <f t="shared" si="11"/>
        <v>9.047999999999998</v>
      </c>
      <c r="B407" s="6" t="s">
        <v>403</v>
      </c>
      <c r="C407" s="23" t="s">
        <v>27</v>
      </c>
      <c r="D407" s="10">
        <v>5</v>
      </c>
      <c r="E407" s="13"/>
      <c r="F407" s="13"/>
      <c r="G407" s="14"/>
    </row>
    <row r="408" spans="1:7" s="5" customFormat="1" ht="12.75">
      <c r="A408" s="29">
        <f t="shared" si="11"/>
        <v>9.048999999999998</v>
      </c>
      <c r="B408" s="6" t="s">
        <v>368</v>
      </c>
      <c r="C408" s="23" t="s">
        <v>364</v>
      </c>
      <c r="D408" s="10">
        <f>1.5*5*3.28</f>
        <v>24.599999999999998</v>
      </c>
      <c r="E408" s="13"/>
      <c r="F408" s="13"/>
      <c r="G408" s="14"/>
    </row>
    <row r="409" spans="1:7" s="5" customFormat="1" ht="12.75">
      <c r="A409" s="29">
        <f t="shared" si="11"/>
        <v>9.049999999999997</v>
      </c>
      <c r="B409" s="6" t="s">
        <v>369</v>
      </c>
      <c r="C409" s="23" t="s">
        <v>364</v>
      </c>
      <c r="D409" s="10">
        <v>8.4</v>
      </c>
      <c r="E409" s="13"/>
      <c r="F409" s="13"/>
      <c r="G409" s="14"/>
    </row>
    <row r="410" spans="1:7" s="5" customFormat="1" ht="25.5">
      <c r="A410" s="29">
        <f t="shared" si="11"/>
        <v>9.050999999999997</v>
      </c>
      <c r="B410" s="6" t="s">
        <v>370</v>
      </c>
      <c r="C410" s="23" t="s">
        <v>27</v>
      </c>
      <c r="D410" s="10">
        <v>1</v>
      </c>
      <c r="E410" s="13"/>
      <c r="F410" s="13"/>
      <c r="G410" s="14"/>
    </row>
    <row r="411" spans="1:7" s="5" customFormat="1" ht="25.5">
      <c r="A411" s="29">
        <f t="shared" si="11"/>
        <v>9.051999999999996</v>
      </c>
      <c r="B411" s="6" t="s">
        <v>371</v>
      </c>
      <c r="C411" s="23" t="s">
        <v>27</v>
      </c>
      <c r="D411" s="10">
        <v>5</v>
      </c>
      <c r="E411" s="13"/>
      <c r="F411" s="13"/>
      <c r="G411" s="14"/>
    </row>
    <row r="412" spans="1:7" s="5" customFormat="1" ht="12.75">
      <c r="A412" s="29">
        <f t="shared" si="11"/>
        <v>9.052999999999995</v>
      </c>
      <c r="B412" s="6" t="s">
        <v>367</v>
      </c>
      <c r="C412" s="23" t="s">
        <v>27</v>
      </c>
      <c r="D412" s="10">
        <v>5</v>
      </c>
      <c r="E412" s="13"/>
      <c r="F412" s="13"/>
      <c r="G412" s="14"/>
    </row>
    <row r="413" spans="1:7" s="5" customFormat="1" ht="25.5">
      <c r="A413" s="29">
        <f t="shared" si="11"/>
        <v>9.053999999999995</v>
      </c>
      <c r="B413" s="6" t="s">
        <v>366</v>
      </c>
      <c r="C413" s="23" t="s">
        <v>27</v>
      </c>
      <c r="D413" s="10">
        <v>5</v>
      </c>
      <c r="E413" s="13"/>
      <c r="F413" s="13"/>
      <c r="G413" s="14"/>
    </row>
    <row r="414" spans="1:7" s="5" customFormat="1" ht="25.5">
      <c r="A414" s="29">
        <f t="shared" si="11"/>
        <v>9.054999999999994</v>
      </c>
      <c r="B414" s="6" t="s">
        <v>372</v>
      </c>
      <c r="C414" s="23" t="s">
        <v>27</v>
      </c>
      <c r="D414" s="10">
        <v>5</v>
      </c>
      <c r="E414" s="13"/>
      <c r="F414" s="13"/>
      <c r="G414" s="14"/>
    </row>
    <row r="415" spans="1:7" s="5" customFormat="1" ht="12.75">
      <c r="A415" s="29">
        <f t="shared" si="11"/>
        <v>9.055999999999994</v>
      </c>
      <c r="B415" s="6" t="s">
        <v>365</v>
      </c>
      <c r="C415" s="23" t="s">
        <v>27</v>
      </c>
      <c r="D415" s="10">
        <v>5</v>
      </c>
      <c r="E415" s="13"/>
      <c r="F415" s="13"/>
      <c r="G415" s="14"/>
    </row>
    <row r="416" spans="1:7" s="5" customFormat="1" ht="12.75">
      <c r="A416" s="29">
        <f t="shared" si="11"/>
        <v>9.056999999999993</v>
      </c>
      <c r="B416" s="6" t="s">
        <v>373</v>
      </c>
      <c r="C416" s="23" t="s">
        <v>27</v>
      </c>
      <c r="D416" s="10">
        <v>5</v>
      </c>
      <c r="E416" s="13"/>
      <c r="F416" s="13"/>
      <c r="G416" s="14"/>
    </row>
    <row r="417" spans="1:7" s="5" customFormat="1" ht="12.75">
      <c r="A417" s="29">
        <f t="shared" si="11"/>
        <v>9.057999999999993</v>
      </c>
      <c r="B417" s="6" t="s">
        <v>374</v>
      </c>
      <c r="C417" s="23" t="s">
        <v>27</v>
      </c>
      <c r="D417" s="10">
        <v>10</v>
      </c>
      <c r="E417" s="13"/>
      <c r="F417" s="13"/>
      <c r="G417" s="14"/>
    </row>
    <row r="418" spans="1:7" s="5" customFormat="1" ht="12.75">
      <c r="A418" s="29">
        <f t="shared" si="11"/>
        <v>9.058999999999992</v>
      </c>
      <c r="B418" s="6" t="s">
        <v>375</v>
      </c>
      <c r="C418" s="23" t="s">
        <v>27</v>
      </c>
      <c r="D418" s="10">
        <v>5</v>
      </c>
      <c r="E418" s="13"/>
      <c r="F418" s="13"/>
      <c r="G418" s="14"/>
    </row>
    <row r="419" spans="1:7" s="5" customFormat="1" ht="12.75">
      <c r="A419" s="29">
        <f t="shared" si="11"/>
        <v>9.059999999999992</v>
      </c>
      <c r="B419" s="6" t="s">
        <v>376</v>
      </c>
      <c r="C419" s="23" t="s">
        <v>27</v>
      </c>
      <c r="D419" s="10">
        <v>5</v>
      </c>
      <c r="E419" s="13"/>
      <c r="F419" s="13"/>
      <c r="G419" s="14"/>
    </row>
    <row r="420" spans="1:7" s="5" customFormat="1" ht="12.75">
      <c r="A420" s="29">
        <f t="shared" si="11"/>
        <v>9.060999999999991</v>
      </c>
      <c r="B420" s="6" t="s">
        <v>377</v>
      </c>
      <c r="C420" s="23" t="s">
        <v>27</v>
      </c>
      <c r="D420" s="10">
        <v>5</v>
      </c>
      <c r="E420" s="13"/>
      <c r="F420" s="13"/>
      <c r="G420" s="14"/>
    </row>
    <row r="421" spans="1:7" s="5" customFormat="1" ht="12.75">
      <c r="A421" s="29">
        <f t="shared" si="11"/>
        <v>9.06199999999999</v>
      </c>
      <c r="B421" s="6" t="s">
        <v>378</v>
      </c>
      <c r="C421" s="23" t="s">
        <v>27</v>
      </c>
      <c r="D421" s="10">
        <v>5</v>
      </c>
      <c r="E421" s="13"/>
      <c r="F421" s="13"/>
      <c r="G421" s="14"/>
    </row>
    <row r="422" spans="1:7" s="5" customFormat="1" ht="12.75">
      <c r="A422" s="29">
        <f aca="true" t="shared" si="12" ref="A422:A456">+A421+0.001</f>
        <v>9.06299999999999</v>
      </c>
      <c r="B422" s="6" t="s">
        <v>383</v>
      </c>
      <c r="C422" s="23" t="s">
        <v>13</v>
      </c>
      <c r="D422" s="10">
        <v>3</v>
      </c>
      <c r="E422" s="13"/>
      <c r="F422" s="13"/>
      <c r="G422" s="14"/>
    </row>
    <row r="423" spans="1:7" s="5" customFormat="1" ht="12.75">
      <c r="A423" s="29">
        <f t="shared" si="12"/>
        <v>9.06399999999999</v>
      </c>
      <c r="B423" s="6" t="s">
        <v>384</v>
      </c>
      <c r="C423" s="23" t="s">
        <v>13</v>
      </c>
      <c r="D423" s="10">
        <v>1</v>
      </c>
      <c r="E423" s="13"/>
      <c r="F423" s="13"/>
      <c r="G423" s="14"/>
    </row>
    <row r="424" spans="1:7" s="5" customFormat="1" ht="12.75">
      <c r="A424" s="29">
        <f t="shared" si="12"/>
        <v>9.064999999999989</v>
      </c>
      <c r="B424" s="6" t="s">
        <v>661</v>
      </c>
      <c r="C424" s="23" t="s">
        <v>13</v>
      </c>
      <c r="D424" s="10">
        <v>5</v>
      </c>
      <c r="E424" s="13"/>
      <c r="F424" s="13"/>
      <c r="G424" s="14"/>
    </row>
    <row r="425" spans="1:7" s="5" customFormat="1" ht="12.75">
      <c r="A425" s="29">
        <f t="shared" si="12"/>
        <v>9.065999999999988</v>
      </c>
      <c r="B425" s="6" t="s">
        <v>662</v>
      </c>
      <c r="C425" s="23" t="s">
        <v>13</v>
      </c>
      <c r="D425" s="10">
        <v>1</v>
      </c>
      <c r="E425" s="13"/>
      <c r="F425" s="13"/>
      <c r="G425" s="14"/>
    </row>
    <row r="426" spans="1:7" s="5" customFormat="1" ht="12.75">
      <c r="A426" s="29">
        <f t="shared" si="12"/>
        <v>9.066999999999988</v>
      </c>
      <c r="B426" s="6" t="s">
        <v>663</v>
      </c>
      <c r="C426" s="23" t="s">
        <v>11</v>
      </c>
      <c r="D426" s="10">
        <v>32.81</v>
      </c>
      <c r="E426" s="13"/>
      <c r="F426" s="13"/>
      <c r="G426" s="14"/>
    </row>
    <row r="427" spans="1:7" s="5" customFormat="1" ht="12.75">
      <c r="A427" s="29">
        <f t="shared" si="12"/>
        <v>9.067999999999987</v>
      </c>
      <c r="B427" s="6" t="s">
        <v>664</v>
      </c>
      <c r="C427" s="23" t="s">
        <v>11</v>
      </c>
      <c r="D427" s="10">
        <v>11.34</v>
      </c>
      <c r="E427" s="13"/>
      <c r="F427" s="13"/>
      <c r="G427" s="14"/>
    </row>
    <row r="428" spans="1:7" s="5" customFormat="1" ht="12.75">
      <c r="A428" s="29">
        <f t="shared" si="12"/>
        <v>9.068999999999987</v>
      </c>
      <c r="B428" s="6" t="s">
        <v>665</v>
      </c>
      <c r="C428" s="23" t="s">
        <v>11</v>
      </c>
      <c r="D428" s="10">
        <v>3.1</v>
      </c>
      <c r="E428" s="13"/>
      <c r="F428" s="13"/>
      <c r="G428" s="14"/>
    </row>
    <row r="429" spans="1:7" s="5" customFormat="1" ht="12.75">
      <c r="A429" s="29">
        <f t="shared" si="12"/>
        <v>9.069999999999986</v>
      </c>
      <c r="B429" s="6" t="s">
        <v>666</v>
      </c>
      <c r="C429" s="23" t="s">
        <v>11</v>
      </c>
      <c r="D429" s="10">
        <v>8.2</v>
      </c>
      <c r="E429" s="13"/>
      <c r="F429" s="13"/>
      <c r="G429" s="14"/>
    </row>
    <row r="430" spans="1:7" s="5" customFormat="1" ht="12.75">
      <c r="A430" s="29">
        <f t="shared" si="12"/>
        <v>9.070999999999986</v>
      </c>
      <c r="B430" s="6" t="s">
        <v>667</v>
      </c>
      <c r="C430" s="23" t="s">
        <v>11</v>
      </c>
      <c r="D430" s="10">
        <v>22.5</v>
      </c>
      <c r="E430" s="13"/>
      <c r="F430" s="13"/>
      <c r="G430" s="14"/>
    </row>
    <row r="431" spans="1:7" s="5" customFormat="1" ht="12.75">
      <c r="A431" s="29">
        <f t="shared" si="12"/>
        <v>9.071999999999985</v>
      </c>
      <c r="B431" s="6" t="s">
        <v>668</v>
      </c>
      <c r="C431" s="23" t="s">
        <v>11</v>
      </c>
      <c r="D431" s="10">
        <v>10.8</v>
      </c>
      <c r="E431" s="13"/>
      <c r="F431" s="13"/>
      <c r="G431" s="14"/>
    </row>
    <row r="432" spans="1:7" s="5" customFormat="1" ht="12.75">
      <c r="A432" s="29">
        <f t="shared" si="12"/>
        <v>9.072999999999984</v>
      </c>
      <c r="B432" s="6" t="s">
        <v>669</v>
      </c>
      <c r="C432" s="23" t="s">
        <v>638</v>
      </c>
      <c r="D432" s="10">
        <v>4</v>
      </c>
      <c r="E432" s="13"/>
      <c r="F432" s="13"/>
      <c r="G432" s="14"/>
    </row>
    <row r="433" spans="1:7" s="5" customFormat="1" ht="12.75">
      <c r="A433" s="29">
        <f t="shared" si="12"/>
        <v>9.073999999999984</v>
      </c>
      <c r="B433" s="6" t="s">
        <v>646</v>
      </c>
      <c r="C433" s="23" t="s">
        <v>638</v>
      </c>
      <c r="D433" s="10">
        <v>6</v>
      </c>
      <c r="E433" s="13"/>
      <c r="F433" s="13"/>
      <c r="G433" s="14"/>
    </row>
    <row r="434" spans="1:7" s="5" customFormat="1" ht="12.75">
      <c r="A434" s="29">
        <f t="shared" si="12"/>
        <v>9.074999999999983</v>
      </c>
      <c r="B434" s="6" t="s">
        <v>647</v>
      </c>
      <c r="C434" s="23" t="s">
        <v>11</v>
      </c>
      <c r="D434" s="10">
        <v>3</v>
      </c>
      <c r="E434" s="13"/>
      <c r="F434" s="13"/>
      <c r="G434" s="14"/>
    </row>
    <row r="435" spans="1:7" s="5" customFormat="1" ht="12.75">
      <c r="A435" s="29">
        <f t="shared" si="12"/>
        <v>9.075999999999983</v>
      </c>
      <c r="B435" s="6" t="s">
        <v>648</v>
      </c>
      <c r="C435" s="23" t="s">
        <v>11</v>
      </c>
      <c r="D435" s="10">
        <v>6.4</v>
      </c>
      <c r="E435" s="13"/>
      <c r="F435" s="13"/>
      <c r="G435" s="14"/>
    </row>
    <row r="436" spans="1:7" s="5" customFormat="1" ht="12.75">
      <c r="A436" s="29">
        <f t="shared" si="12"/>
        <v>9.076999999999982</v>
      </c>
      <c r="B436" s="6" t="s">
        <v>670</v>
      </c>
      <c r="C436" s="23" t="s">
        <v>11</v>
      </c>
      <c r="D436" s="10">
        <v>3.2</v>
      </c>
      <c r="E436" s="13"/>
      <c r="F436" s="13"/>
      <c r="G436" s="14"/>
    </row>
    <row r="437" spans="1:7" s="5" customFormat="1" ht="12.75">
      <c r="A437" s="29">
        <f t="shared" si="12"/>
        <v>9.077999999999982</v>
      </c>
      <c r="B437" s="6" t="s">
        <v>671</v>
      </c>
      <c r="C437" s="23" t="s">
        <v>638</v>
      </c>
      <c r="D437" s="10">
        <v>1</v>
      </c>
      <c r="E437" s="13"/>
      <c r="F437" s="13"/>
      <c r="G437" s="14"/>
    </row>
    <row r="438" spans="1:7" s="5" customFormat="1" ht="12.75">
      <c r="A438" s="29">
        <f t="shared" si="12"/>
        <v>9.078999999999981</v>
      </c>
      <c r="B438" s="6" t="s">
        <v>672</v>
      </c>
      <c r="C438" s="23" t="s">
        <v>638</v>
      </c>
      <c r="D438" s="10">
        <v>1</v>
      </c>
      <c r="E438" s="13"/>
      <c r="F438" s="13"/>
      <c r="G438" s="14"/>
    </row>
    <row r="439" spans="1:7" s="5" customFormat="1" ht="12.75">
      <c r="A439" s="29">
        <f t="shared" si="12"/>
        <v>9.07999999999998</v>
      </c>
      <c r="B439" s="6" t="s">
        <v>673</v>
      </c>
      <c r="C439" s="23" t="s">
        <v>638</v>
      </c>
      <c r="D439" s="10">
        <v>1</v>
      </c>
      <c r="E439" s="13"/>
      <c r="F439" s="13"/>
      <c r="G439" s="14"/>
    </row>
    <row r="440" spans="1:7" s="5" customFormat="1" ht="12.75">
      <c r="A440" s="29">
        <f>+A423+0.001</f>
        <v>9.064999999999989</v>
      </c>
      <c r="B440" s="6" t="s">
        <v>382</v>
      </c>
      <c r="C440" s="23" t="s">
        <v>11</v>
      </c>
      <c r="D440" s="10">
        <f>3*4</f>
        <v>12</v>
      </c>
      <c r="E440" s="13"/>
      <c r="F440" s="13"/>
      <c r="G440" s="14"/>
    </row>
    <row r="441" spans="1:7" s="5" customFormat="1" ht="15">
      <c r="A441" s="29"/>
      <c r="B441" s="21" t="s">
        <v>327</v>
      </c>
      <c r="C441" s="23"/>
      <c r="D441" s="10"/>
      <c r="E441" s="13"/>
      <c r="F441" s="13"/>
      <c r="G441" s="14"/>
    </row>
    <row r="442" spans="1:7" s="5" customFormat="1" ht="12.75">
      <c r="A442" s="29">
        <v>9.066</v>
      </c>
      <c r="B442" s="6" t="s">
        <v>330</v>
      </c>
      <c r="C442" s="23" t="s">
        <v>13</v>
      </c>
      <c r="D442" s="10">
        <v>8</v>
      </c>
      <c r="E442" s="13"/>
      <c r="F442" s="13"/>
      <c r="G442" s="14"/>
    </row>
    <row r="443" spans="1:7" s="5" customFormat="1" ht="12.75">
      <c r="A443" s="29">
        <f t="shared" si="12"/>
        <v>9.067</v>
      </c>
      <c r="B443" s="6" t="s">
        <v>331</v>
      </c>
      <c r="C443" s="23" t="s">
        <v>13</v>
      </c>
      <c r="D443" s="10">
        <v>5</v>
      </c>
      <c r="E443" s="13"/>
      <c r="F443" s="13"/>
      <c r="G443" s="14"/>
    </row>
    <row r="444" spans="1:7" s="5" customFormat="1" ht="12.75">
      <c r="A444" s="29">
        <f t="shared" si="12"/>
        <v>9.068</v>
      </c>
      <c r="B444" s="6" t="s">
        <v>332</v>
      </c>
      <c r="C444" s="23" t="s">
        <v>13</v>
      </c>
      <c r="D444" s="10">
        <v>3</v>
      </c>
      <c r="E444" s="13"/>
      <c r="F444" s="13"/>
      <c r="G444" s="14"/>
    </row>
    <row r="445" spans="1:7" s="5" customFormat="1" ht="12.75">
      <c r="A445" s="29">
        <f t="shared" si="12"/>
        <v>9.068999999999999</v>
      </c>
      <c r="B445" s="6" t="s">
        <v>328</v>
      </c>
      <c r="C445" s="23" t="s">
        <v>13</v>
      </c>
      <c r="D445" s="10">
        <v>8</v>
      </c>
      <c r="E445" s="13"/>
      <c r="F445" s="13"/>
      <c r="G445" s="14"/>
    </row>
    <row r="446" spans="1:7" s="5" customFormat="1" ht="12.75">
      <c r="A446" s="29">
        <f t="shared" si="12"/>
        <v>9.069999999999999</v>
      </c>
      <c r="B446" s="6" t="s">
        <v>329</v>
      </c>
      <c r="C446" s="23" t="s">
        <v>13</v>
      </c>
      <c r="D446" s="10">
        <v>4</v>
      </c>
      <c r="E446" s="13"/>
      <c r="F446" s="13"/>
      <c r="G446" s="14"/>
    </row>
    <row r="447" spans="1:7" s="5" customFormat="1" ht="12.75">
      <c r="A447" s="29">
        <f t="shared" si="12"/>
        <v>9.070999999999998</v>
      </c>
      <c r="B447" s="6" t="s">
        <v>333</v>
      </c>
      <c r="C447" s="23" t="s">
        <v>13</v>
      </c>
      <c r="D447" s="10">
        <f>+D445</f>
        <v>8</v>
      </c>
      <c r="E447" s="13"/>
      <c r="F447" s="13"/>
      <c r="G447" s="14"/>
    </row>
    <row r="448" spans="1:7" s="5" customFormat="1" ht="12.75">
      <c r="A448" s="29">
        <f t="shared" si="12"/>
        <v>9.071999999999997</v>
      </c>
      <c r="B448" s="6" t="s">
        <v>334</v>
      </c>
      <c r="C448" s="23" t="s">
        <v>159</v>
      </c>
      <c r="D448" s="10">
        <v>412.54</v>
      </c>
      <c r="E448" s="13"/>
      <c r="F448" s="13"/>
      <c r="G448" s="14"/>
    </row>
    <row r="449" spans="1:7" s="5" customFormat="1" ht="15">
      <c r="A449" s="29"/>
      <c r="B449" s="21" t="s">
        <v>338</v>
      </c>
      <c r="C449" s="23"/>
      <c r="D449" s="10"/>
      <c r="E449" s="13"/>
      <c r="F449" s="13"/>
      <c r="G449" s="14"/>
    </row>
    <row r="450" spans="1:7" s="5" customFormat="1" ht="12.75">
      <c r="A450" s="29">
        <v>9.073</v>
      </c>
      <c r="B450" s="6" t="s">
        <v>336</v>
      </c>
      <c r="C450" s="23" t="s">
        <v>11</v>
      </c>
      <c r="D450" s="10">
        <f>36*1.5</f>
        <v>54</v>
      </c>
      <c r="E450" s="13"/>
      <c r="F450" s="13"/>
      <c r="G450" s="14"/>
    </row>
    <row r="451" spans="1:7" s="5" customFormat="1" ht="12.75">
      <c r="A451" s="29">
        <f t="shared" si="12"/>
        <v>9.074</v>
      </c>
      <c r="B451" s="6" t="s">
        <v>335</v>
      </c>
      <c r="C451" s="23" t="s">
        <v>16</v>
      </c>
      <c r="D451" s="10">
        <f>54*1.2*0.3</f>
        <v>19.439999999999998</v>
      </c>
      <c r="E451" s="13"/>
      <c r="F451" s="13"/>
      <c r="G451" s="14"/>
    </row>
    <row r="452" spans="1:7" s="5" customFormat="1" ht="12.75">
      <c r="A452" s="29">
        <f t="shared" si="12"/>
        <v>9.075</v>
      </c>
      <c r="B452" s="6" t="s">
        <v>337</v>
      </c>
      <c r="C452" s="23" t="s">
        <v>10</v>
      </c>
      <c r="D452" s="10">
        <f>54*1.2</f>
        <v>64.8</v>
      </c>
      <c r="E452" s="13"/>
      <c r="F452" s="13"/>
      <c r="G452" s="14"/>
    </row>
    <row r="453" spans="1:7" s="5" customFormat="1" ht="15">
      <c r="A453" s="29"/>
      <c r="B453" s="21" t="s">
        <v>339</v>
      </c>
      <c r="C453" s="23"/>
      <c r="D453" s="10"/>
      <c r="E453" s="13"/>
      <c r="F453" s="13"/>
      <c r="G453" s="14"/>
    </row>
    <row r="454" spans="1:7" s="5" customFormat="1" ht="12.75">
      <c r="A454" s="29">
        <v>9.076</v>
      </c>
      <c r="B454" s="6" t="s">
        <v>342</v>
      </c>
      <c r="C454" s="23" t="s">
        <v>10</v>
      </c>
      <c r="D454" s="10">
        <f>+D385+165</f>
        <v>779.4</v>
      </c>
      <c r="E454" s="13"/>
      <c r="F454" s="13"/>
      <c r="G454" s="14"/>
    </row>
    <row r="455" spans="1:7" s="5" customFormat="1" ht="12.75">
      <c r="A455" s="29">
        <f t="shared" si="12"/>
        <v>9.077</v>
      </c>
      <c r="B455" s="6" t="s">
        <v>340</v>
      </c>
      <c r="C455" s="23" t="s">
        <v>10</v>
      </c>
      <c r="D455" s="10">
        <f>+((D385+D375)*1.07)*0.6</f>
        <v>441.50339999999994</v>
      </c>
      <c r="E455" s="13"/>
      <c r="F455" s="13"/>
      <c r="G455" s="14"/>
    </row>
    <row r="456" spans="1:7" s="5" customFormat="1" ht="12.75">
      <c r="A456" s="29">
        <f t="shared" si="12"/>
        <v>9.078</v>
      </c>
      <c r="B456" s="6" t="s">
        <v>341</v>
      </c>
      <c r="C456" s="23" t="s">
        <v>10</v>
      </c>
      <c r="D456" s="10">
        <f>+D454-D455</f>
        <v>337.89660000000003</v>
      </c>
      <c r="E456" s="13"/>
      <c r="F456" s="13"/>
      <c r="G456" s="14"/>
    </row>
    <row r="457" spans="1:7" s="5" customFormat="1" ht="13.5" thickBot="1">
      <c r="A457" s="29"/>
      <c r="B457" s="6"/>
      <c r="C457" s="23"/>
      <c r="D457" s="10"/>
      <c r="E457" s="13"/>
      <c r="F457" s="13"/>
      <c r="G457" s="14"/>
    </row>
    <row r="458" spans="1:7" s="5" customFormat="1" ht="13.5" thickBot="1">
      <c r="A458" s="29"/>
      <c r="B458" s="6"/>
      <c r="C458" s="23"/>
      <c r="D458" s="10"/>
      <c r="E458" s="71" t="str">
        <f>+B351</f>
        <v>Construcción Área Administrativa </v>
      </c>
      <c r="F458" s="72"/>
      <c r="G458" s="16">
        <f>SUM(F350:F457)</f>
        <v>0</v>
      </c>
    </row>
    <row r="459" spans="1:7" s="5" customFormat="1" ht="13.5" thickBot="1">
      <c r="A459" s="29"/>
      <c r="B459" s="6"/>
      <c r="C459" s="23"/>
      <c r="D459" s="10"/>
      <c r="E459" s="13"/>
      <c r="F459" s="13"/>
      <c r="G459" s="14"/>
    </row>
    <row r="460" spans="1:7" s="5" customFormat="1" ht="16.5" thickBot="1">
      <c r="A460" s="28">
        <v>10</v>
      </c>
      <c r="B460" s="61" t="s">
        <v>343</v>
      </c>
      <c r="C460" s="23"/>
      <c r="D460" s="10"/>
      <c r="E460" s="13"/>
      <c r="F460" s="13"/>
      <c r="G460" s="14"/>
    </row>
    <row r="461" spans="1:7" s="5" customFormat="1" ht="12.75">
      <c r="A461" s="29">
        <f>+A460+0.001</f>
        <v>10.001</v>
      </c>
      <c r="B461" s="6" t="s">
        <v>396</v>
      </c>
      <c r="C461" s="23" t="s">
        <v>10</v>
      </c>
      <c r="D461" s="10">
        <f>19*12</f>
        <v>228</v>
      </c>
      <c r="E461" s="13"/>
      <c r="F461" s="13"/>
      <c r="G461" s="14"/>
    </row>
    <row r="462" spans="1:7" s="5" customFormat="1" ht="15">
      <c r="A462" s="29"/>
      <c r="B462" s="21" t="s">
        <v>265</v>
      </c>
      <c r="C462" s="23"/>
      <c r="D462" s="10"/>
      <c r="E462" s="13"/>
      <c r="F462" s="13"/>
      <c r="G462" s="14"/>
    </row>
    <row r="463" spans="1:7" s="5" customFormat="1" ht="12.75">
      <c r="A463" s="29">
        <f>+A461+0.001</f>
        <v>10.001999999999999</v>
      </c>
      <c r="B463" s="6" t="s">
        <v>266</v>
      </c>
      <c r="C463" s="23" t="s">
        <v>15</v>
      </c>
      <c r="D463" s="10">
        <f>3.45*2+(1.5*2)+(1*4)</f>
        <v>13.9</v>
      </c>
      <c r="E463" s="13"/>
      <c r="F463" s="13"/>
      <c r="G463" s="14"/>
    </row>
    <row r="464" spans="1:7" s="5" customFormat="1" ht="12.75">
      <c r="A464" s="29">
        <f>+A463+0.001</f>
        <v>10.002999999999998</v>
      </c>
      <c r="B464" s="6" t="s">
        <v>264</v>
      </c>
      <c r="C464" s="23" t="s">
        <v>15</v>
      </c>
      <c r="D464" s="10">
        <f>102.62*0.2</f>
        <v>20.524</v>
      </c>
      <c r="E464" s="13"/>
      <c r="F464" s="13"/>
      <c r="G464" s="14"/>
    </row>
    <row r="465" spans="1:7" s="5" customFormat="1" ht="12.75">
      <c r="A465" s="29">
        <f aca="true" t="shared" si="13" ref="A465:A528">+A464+0.001</f>
        <v>10.003999999999998</v>
      </c>
      <c r="B465" s="6" t="s">
        <v>267</v>
      </c>
      <c r="C465" s="23" t="s">
        <v>15</v>
      </c>
      <c r="D465" s="10">
        <f>1*1*1*2</f>
        <v>2</v>
      </c>
      <c r="E465" s="13"/>
      <c r="F465" s="13"/>
      <c r="G465" s="14"/>
    </row>
    <row r="466" spans="1:7" s="5" customFormat="1" ht="12.75">
      <c r="A466" s="29">
        <f t="shared" si="13"/>
        <v>10.004999999999997</v>
      </c>
      <c r="B466" s="6" t="s">
        <v>268</v>
      </c>
      <c r="C466" s="23" t="s">
        <v>15</v>
      </c>
      <c r="D466" s="10">
        <f>1.3*1.3*2</f>
        <v>3.3800000000000003</v>
      </c>
      <c r="E466" s="13"/>
      <c r="F466" s="13"/>
      <c r="G466" s="14"/>
    </row>
    <row r="467" spans="1:7" s="5" customFormat="1" ht="12.75">
      <c r="A467" s="29">
        <f t="shared" si="13"/>
        <v>10.005999999999997</v>
      </c>
      <c r="B467" s="6" t="s">
        <v>269</v>
      </c>
      <c r="C467" s="23" t="s">
        <v>50</v>
      </c>
      <c r="D467" s="10">
        <f>SUM(D463:D466)*1.35</f>
        <v>53.735400000000006</v>
      </c>
      <c r="E467" s="13"/>
      <c r="F467" s="13"/>
      <c r="G467" s="14"/>
    </row>
    <row r="468" spans="1:7" s="5" customFormat="1" ht="12.75">
      <c r="A468" s="29">
        <f t="shared" si="13"/>
        <v>10.006999999999996</v>
      </c>
      <c r="B468" s="6" t="s">
        <v>270</v>
      </c>
      <c r="C468" s="23" t="s">
        <v>16</v>
      </c>
      <c r="D468" s="10">
        <f>+D467*0.35</f>
        <v>18.80739</v>
      </c>
      <c r="E468" s="13"/>
      <c r="F468" s="13"/>
      <c r="G468" s="14"/>
    </row>
    <row r="469" spans="1:7" s="5" customFormat="1" ht="15">
      <c r="A469" s="29"/>
      <c r="B469" s="21" t="s">
        <v>271</v>
      </c>
      <c r="C469" s="23"/>
      <c r="D469" s="10"/>
      <c r="E469" s="13"/>
      <c r="F469" s="13"/>
      <c r="G469" s="14"/>
    </row>
    <row r="470" spans="1:7" s="5" customFormat="1" ht="12.75">
      <c r="A470" s="29">
        <v>10.008</v>
      </c>
      <c r="B470" s="6" t="s">
        <v>476</v>
      </c>
      <c r="C470" s="23" t="s">
        <v>0</v>
      </c>
      <c r="D470" s="10">
        <f>102.62*0.3</f>
        <v>30.786</v>
      </c>
      <c r="E470" s="13"/>
      <c r="F470" s="13"/>
      <c r="G470" s="14"/>
    </row>
    <row r="471" spans="1:7" s="5" customFormat="1" ht="12.75">
      <c r="A471" s="29">
        <f t="shared" si="13"/>
        <v>10.008999999999999</v>
      </c>
      <c r="B471" s="6" t="s">
        <v>273</v>
      </c>
      <c r="C471" s="23" t="s">
        <v>0</v>
      </c>
      <c r="D471" s="10">
        <f>23.8*0.6*0.3</f>
        <v>4.284</v>
      </c>
      <c r="E471" s="13"/>
      <c r="F471" s="13"/>
      <c r="G471" s="14"/>
    </row>
    <row r="472" spans="1:7" s="5" customFormat="1" ht="12.75">
      <c r="A472" s="29">
        <f t="shared" si="13"/>
        <v>10.009999999999998</v>
      </c>
      <c r="B472" s="6" t="s">
        <v>275</v>
      </c>
      <c r="C472" s="23" t="s">
        <v>0</v>
      </c>
      <c r="D472" s="10">
        <f>1*1*0.3*2</f>
        <v>0.6</v>
      </c>
      <c r="E472" s="13"/>
      <c r="F472" s="13"/>
      <c r="G472" s="14"/>
    </row>
    <row r="473" spans="1:7" s="5" customFormat="1" ht="12.75">
      <c r="A473" s="29">
        <f t="shared" si="13"/>
        <v>10.010999999999997</v>
      </c>
      <c r="B473" s="6" t="s">
        <v>274</v>
      </c>
      <c r="C473" s="23" t="s">
        <v>0</v>
      </c>
      <c r="D473" s="10">
        <f>1.3*1.3*0.3*4</f>
        <v>2.028</v>
      </c>
      <c r="E473" s="13"/>
      <c r="F473" s="13"/>
      <c r="G473" s="14"/>
    </row>
    <row r="474" spans="1:7" s="5" customFormat="1" ht="15">
      <c r="A474" s="29"/>
      <c r="B474" s="21" t="s">
        <v>388</v>
      </c>
      <c r="C474" s="23"/>
      <c r="D474" s="10"/>
      <c r="E474" s="13"/>
      <c r="F474" s="13"/>
      <c r="G474" s="14"/>
    </row>
    <row r="475" spans="1:7" s="5" customFormat="1" ht="12.75">
      <c r="A475" s="29">
        <v>10.012</v>
      </c>
      <c r="B475" s="6" t="s">
        <v>276</v>
      </c>
      <c r="C475" s="23" t="s">
        <v>0</v>
      </c>
      <c r="D475" s="10">
        <f>2*0.8*0.2*3.2</f>
        <v>1.0240000000000002</v>
      </c>
      <c r="E475" s="13"/>
      <c r="F475" s="13"/>
      <c r="G475" s="14"/>
    </row>
    <row r="476" spans="1:7" s="5" customFormat="1" ht="12.75">
      <c r="A476" s="29">
        <f t="shared" si="13"/>
        <v>10.013</v>
      </c>
      <c r="B476" s="6" t="s">
        <v>277</v>
      </c>
      <c r="C476" s="23" t="s">
        <v>0</v>
      </c>
      <c r="D476" s="10">
        <f>0.22*3.2*3</f>
        <v>2.112</v>
      </c>
      <c r="E476" s="13"/>
      <c r="F476" s="13"/>
      <c r="G476" s="14"/>
    </row>
    <row r="477" spans="1:7" s="5" customFormat="1" ht="12.75">
      <c r="A477" s="29">
        <f t="shared" si="13"/>
        <v>10.014</v>
      </c>
      <c r="B477" s="6" t="s">
        <v>278</v>
      </c>
      <c r="C477" s="23" t="s">
        <v>0</v>
      </c>
      <c r="D477" s="10">
        <f>32*0.2*0.2*3.3</f>
        <v>4.224</v>
      </c>
      <c r="E477" s="13"/>
      <c r="F477" s="13"/>
      <c r="G477" s="14"/>
    </row>
    <row r="478" spans="1:7" s="5" customFormat="1" ht="12.75">
      <c r="A478" s="29">
        <f t="shared" si="13"/>
        <v>10.014999999999999</v>
      </c>
      <c r="B478" s="6" t="s">
        <v>260</v>
      </c>
      <c r="C478" s="23" t="s">
        <v>0</v>
      </c>
      <c r="D478" s="10">
        <f>0.3*0.3*8*3.8</f>
        <v>2.7359999999999998</v>
      </c>
      <c r="E478" s="13"/>
      <c r="F478" s="13"/>
      <c r="G478" s="14"/>
    </row>
    <row r="479" spans="1:7" s="5" customFormat="1" ht="12.75">
      <c r="A479" s="29">
        <f t="shared" si="13"/>
        <v>10.015999999999998</v>
      </c>
      <c r="B479" s="6" t="s">
        <v>261</v>
      </c>
      <c r="C479" s="23" t="s">
        <v>0</v>
      </c>
      <c r="D479" s="10">
        <f>30*0.4*0.3*3.2</f>
        <v>11.52</v>
      </c>
      <c r="E479" s="13"/>
      <c r="F479" s="13"/>
      <c r="G479" s="14"/>
    </row>
    <row r="480" spans="1:7" s="5" customFormat="1" ht="12.75">
      <c r="A480" s="29">
        <f t="shared" si="13"/>
        <v>10.016999999999998</v>
      </c>
      <c r="B480" s="6" t="s">
        <v>279</v>
      </c>
      <c r="C480" s="23" t="s">
        <v>0</v>
      </c>
      <c r="D480" s="10">
        <f>6.8*2*0.2*0.5</f>
        <v>1.36</v>
      </c>
      <c r="E480" s="13"/>
      <c r="F480" s="13"/>
      <c r="G480" s="14"/>
    </row>
    <row r="481" spans="1:7" s="5" customFormat="1" ht="12.75">
      <c r="A481" s="29">
        <f t="shared" si="13"/>
        <v>10.017999999999997</v>
      </c>
      <c r="B481" s="6" t="s">
        <v>282</v>
      </c>
      <c r="C481" s="23" t="s">
        <v>0</v>
      </c>
      <c r="D481" s="10">
        <f>0.76*0.3+(1.7*2)</f>
        <v>3.628</v>
      </c>
      <c r="E481" s="13"/>
      <c r="F481" s="13"/>
      <c r="G481" s="14"/>
    </row>
    <row r="482" spans="1:7" s="5" customFormat="1" ht="12.75">
      <c r="A482" s="29">
        <f t="shared" si="13"/>
        <v>10.018999999999997</v>
      </c>
      <c r="B482" s="6" t="s">
        <v>283</v>
      </c>
      <c r="C482" s="23" t="s">
        <v>0</v>
      </c>
      <c r="D482" s="10">
        <f>0.3*0.94*(3.6*2)</f>
        <v>2.0303999999999998</v>
      </c>
      <c r="E482" s="13"/>
      <c r="F482" s="13"/>
      <c r="G482" s="14"/>
    </row>
    <row r="483" spans="1:7" s="5" customFormat="1" ht="12.75">
      <c r="A483" s="29">
        <f t="shared" si="13"/>
        <v>10.019999999999996</v>
      </c>
      <c r="B483" s="6" t="s">
        <v>284</v>
      </c>
      <c r="C483" s="23" t="s">
        <v>0</v>
      </c>
      <c r="D483" s="10">
        <f>0.42*0.3*8.6</f>
        <v>1.0836</v>
      </c>
      <c r="E483" s="13"/>
      <c r="F483" s="13"/>
      <c r="G483" s="14"/>
    </row>
    <row r="484" spans="1:7" s="5" customFormat="1" ht="12.75">
      <c r="A484" s="29">
        <f t="shared" si="13"/>
        <v>10.020999999999995</v>
      </c>
      <c r="B484" s="6" t="s">
        <v>285</v>
      </c>
      <c r="C484" s="23" t="s">
        <v>0</v>
      </c>
      <c r="D484" s="10">
        <f>0.2*0.62*(3.85*2)*3</f>
        <v>2.8644</v>
      </c>
      <c r="E484" s="13"/>
      <c r="F484" s="13"/>
      <c r="G484" s="14"/>
    </row>
    <row r="485" spans="1:7" s="5" customFormat="1" ht="12.75">
      <c r="A485" s="29">
        <f t="shared" si="13"/>
        <v>10.021999999999995</v>
      </c>
      <c r="B485" s="6" t="s">
        <v>281</v>
      </c>
      <c r="C485" s="23" t="s">
        <v>0</v>
      </c>
      <c r="D485" s="10">
        <f>0.2*0.6*18.8</f>
        <v>2.256</v>
      </c>
      <c r="E485" s="13"/>
      <c r="F485" s="13"/>
      <c r="G485" s="14"/>
    </row>
    <row r="486" spans="1:7" s="5" customFormat="1" ht="12.75">
      <c r="A486" s="29">
        <f t="shared" si="13"/>
        <v>10.022999999999994</v>
      </c>
      <c r="B486" s="6" t="s">
        <v>286</v>
      </c>
      <c r="C486" s="23" t="s">
        <v>0</v>
      </c>
      <c r="D486" s="10">
        <f>15.5*0.426*0.3</f>
        <v>1.9808999999999999</v>
      </c>
      <c r="E486" s="13"/>
      <c r="F486" s="13"/>
      <c r="G486" s="14"/>
    </row>
    <row r="487" spans="1:7" s="5" customFormat="1" ht="12.75">
      <c r="A487" s="29">
        <f t="shared" si="13"/>
        <v>10.023999999999994</v>
      </c>
      <c r="B487" s="6" t="s">
        <v>287</v>
      </c>
      <c r="C487" s="23" t="s">
        <v>0</v>
      </c>
      <c r="D487" s="10">
        <f>3*0.762*0.3</f>
        <v>0.6858</v>
      </c>
      <c r="E487" s="13"/>
      <c r="F487" s="13"/>
      <c r="G487" s="14"/>
    </row>
    <row r="488" spans="1:7" s="5" customFormat="1" ht="12.75">
      <c r="A488" s="29">
        <f t="shared" si="13"/>
        <v>10.024999999999993</v>
      </c>
      <c r="B488" s="6" t="s">
        <v>280</v>
      </c>
      <c r="C488" s="23" t="s">
        <v>0</v>
      </c>
      <c r="D488" s="10">
        <f>5.7*4*0.2*0.4</f>
        <v>1.8240000000000003</v>
      </c>
      <c r="E488" s="13"/>
      <c r="F488" s="13"/>
      <c r="G488" s="14"/>
    </row>
    <row r="489" spans="1:7" s="5" customFormat="1" ht="12.75">
      <c r="A489" s="29">
        <f t="shared" si="13"/>
        <v>10.025999999999993</v>
      </c>
      <c r="B489" s="6" t="s">
        <v>402</v>
      </c>
      <c r="C489" s="23" t="s">
        <v>0</v>
      </c>
      <c r="D489" s="10">
        <f>+D491*0.12</f>
        <v>15.168</v>
      </c>
      <c r="E489" s="13"/>
      <c r="F489" s="13"/>
      <c r="G489" s="14"/>
    </row>
    <row r="490" spans="1:7" s="5" customFormat="1" ht="15">
      <c r="A490" s="29"/>
      <c r="B490" s="21" t="s">
        <v>288</v>
      </c>
      <c r="C490" s="23"/>
      <c r="D490" s="10"/>
      <c r="E490" s="13"/>
      <c r="F490" s="13"/>
      <c r="G490" s="14"/>
    </row>
    <row r="491" spans="1:7" s="5" customFormat="1" ht="12.75">
      <c r="A491" s="29">
        <v>10.027</v>
      </c>
      <c r="B491" s="6" t="s">
        <v>289</v>
      </c>
      <c r="C491" s="23" t="s">
        <v>10</v>
      </c>
      <c r="D491" s="10">
        <v>126.4</v>
      </c>
      <c r="E491" s="13"/>
      <c r="F491" s="13"/>
      <c r="G491" s="14"/>
    </row>
    <row r="492" spans="1:7" s="5" customFormat="1" ht="12.75">
      <c r="A492" s="29">
        <f t="shared" si="13"/>
        <v>10.027999999999999</v>
      </c>
      <c r="B492" s="6" t="s">
        <v>290</v>
      </c>
      <c r="C492" s="23" t="s">
        <v>11</v>
      </c>
      <c r="D492" s="10">
        <v>98.42</v>
      </c>
      <c r="E492" s="13"/>
      <c r="F492" s="13"/>
      <c r="G492" s="14"/>
    </row>
    <row r="493" spans="1:7" s="5" customFormat="1" ht="12.75">
      <c r="A493" s="29">
        <f t="shared" si="13"/>
        <v>10.028999999999998</v>
      </c>
      <c r="B493" s="6" t="s">
        <v>291</v>
      </c>
      <c r="C493" s="23" t="s">
        <v>10</v>
      </c>
      <c r="D493" s="10">
        <f>+D491</f>
        <v>126.4</v>
      </c>
      <c r="E493" s="13"/>
      <c r="F493" s="13"/>
      <c r="G493" s="14"/>
    </row>
    <row r="494" spans="1:7" s="5" customFormat="1" ht="15">
      <c r="A494" s="29"/>
      <c r="B494" s="21" t="s">
        <v>296</v>
      </c>
      <c r="C494" s="23"/>
      <c r="D494" s="10"/>
      <c r="E494" s="13"/>
      <c r="F494" s="13"/>
      <c r="G494" s="14"/>
    </row>
    <row r="495" spans="1:7" s="5" customFormat="1" ht="12.75">
      <c r="A495" s="29">
        <v>10.03</v>
      </c>
      <c r="B495" s="6" t="s">
        <v>297</v>
      </c>
      <c r="C495" s="23" t="s">
        <v>10</v>
      </c>
      <c r="D495" s="10">
        <f>9.8*4+(9.2*4)+(0.65*4)</f>
        <v>78.6</v>
      </c>
      <c r="E495" s="13"/>
      <c r="F495" s="13"/>
      <c r="G495" s="14"/>
    </row>
    <row r="496" spans="1:7" s="5" customFormat="1" ht="12.75">
      <c r="A496" s="29">
        <f t="shared" si="13"/>
        <v>10.030999999999999</v>
      </c>
      <c r="B496" s="6" t="s">
        <v>298</v>
      </c>
      <c r="C496" s="23" t="s">
        <v>10</v>
      </c>
      <c r="D496" s="10">
        <v>65.2</v>
      </c>
      <c r="E496" s="13"/>
      <c r="F496" s="13"/>
      <c r="G496" s="14"/>
    </row>
    <row r="497" spans="1:7" s="5" customFormat="1" ht="15">
      <c r="A497" s="29"/>
      <c r="B497" s="21" t="s">
        <v>674</v>
      </c>
      <c r="C497" s="23"/>
      <c r="D497" s="10"/>
      <c r="E497" s="13"/>
      <c r="F497" s="13"/>
      <c r="G497" s="14"/>
    </row>
    <row r="498" spans="1:7" s="5" customFormat="1" ht="12.75">
      <c r="A498" s="29">
        <v>10.032</v>
      </c>
      <c r="B498" s="6" t="s">
        <v>262</v>
      </c>
      <c r="C498" s="23" t="s">
        <v>10</v>
      </c>
      <c r="D498" s="10">
        <f>143.8*2</f>
        <v>287.6</v>
      </c>
      <c r="E498" s="13"/>
      <c r="F498" s="13"/>
      <c r="G498" s="14"/>
    </row>
    <row r="499" spans="1:7" s="5" customFormat="1" ht="12.75">
      <c r="A499" s="29">
        <f t="shared" si="13"/>
        <v>10.033</v>
      </c>
      <c r="B499" s="6" t="s">
        <v>293</v>
      </c>
      <c r="C499" s="23" t="s">
        <v>10</v>
      </c>
      <c r="D499" s="10">
        <f>+D498</f>
        <v>287.6</v>
      </c>
      <c r="E499" s="13"/>
      <c r="F499" s="13"/>
      <c r="G499" s="14"/>
    </row>
    <row r="500" spans="1:7" s="5" customFormat="1" ht="12.75">
      <c r="A500" s="29">
        <f t="shared" si="13"/>
        <v>10.033999999999999</v>
      </c>
      <c r="B500" s="18" t="s">
        <v>309</v>
      </c>
      <c r="C500" s="23" t="s">
        <v>11</v>
      </c>
      <c r="D500" s="10">
        <v>360</v>
      </c>
      <c r="E500" s="13"/>
      <c r="F500" s="13"/>
      <c r="G500" s="14"/>
    </row>
    <row r="501" spans="1:7" s="5" customFormat="1" ht="12.75">
      <c r="A501" s="29">
        <f t="shared" si="13"/>
        <v>10.034999999999998</v>
      </c>
      <c r="B501" s="6" t="s">
        <v>294</v>
      </c>
      <c r="C501" s="23" t="s">
        <v>10</v>
      </c>
      <c r="D501" s="10">
        <f>60*1.8</f>
        <v>108</v>
      </c>
      <c r="E501" s="13"/>
      <c r="F501" s="13"/>
      <c r="G501" s="14"/>
    </row>
    <row r="502" spans="1:7" s="5" customFormat="1" ht="12.75">
      <c r="A502" s="29">
        <f t="shared" si="13"/>
        <v>10.035999999999998</v>
      </c>
      <c r="B502" s="6" t="s">
        <v>295</v>
      </c>
      <c r="C502" s="23" t="s">
        <v>10</v>
      </c>
      <c r="D502" s="10">
        <f>6.2*0.8</f>
        <v>4.960000000000001</v>
      </c>
      <c r="E502" s="13"/>
      <c r="F502" s="13"/>
      <c r="G502" s="14"/>
    </row>
    <row r="503" spans="1:7" s="5" customFormat="1" ht="12.75">
      <c r="A503" s="29">
        <f t="shared" si="13"/>
        <v>10.036999999999997</v>
      </c>
      <c r="B503" s="6" t="s">
        <v>299</v>
      </c>
      <c r="C503" s="23" t="s">
        <v>10</v>
      </c>
      <c r="D503" s="10">
        <v>38.02</v>
      </c>
      <c r="E503" s="13"/>
      <c r="F503" s="13"/>
      <c r="G503" s="14"/>
    </row>
    <row r="504" spans="1:7" s="5" customFormat="1" ht="12.75">
      <c r="A504" s="29">
        <f t="shared" si="13"/>
        <v>10.037999999999997</v>
      </c>
      <c r="B504" s="6" t="s">
        <v>300</v>
      </c>
      <c r="C504" s="23" t="s">
        <v>11</v>
      </c>
      <c r="D504" s="10">
        <f>9.2*6</f>
        <v>55.199999999999996</v>
      </c>
      <c r="E504" s="13"/>
      <c r="F504" s="13"/>
      <c r="G504" s="14"/>
    </row>
    <row r="505" spans="1:7" s="5" customFormat="1" ht="12.75">
      <c r="A505" s="29">
        <f t="shared" si="13"/>
        <v>10.038999999999996</v>
      </c>
      <c r="B505" s="6" t="s">
        <v>661</v>
      </c>
      <c r="C505" s="23" t="s">
        <v>638</v>
      </c>
      <c r="D505" s="10">
        <v>1</v>
      </c>
      <c r="E505" s="13"/>
      <c r="F505" s="13"/>
      <c r="G505" s="14"/>
    </row>
    <row r="506" spans="1:7" s="5" customFormat="1" ht="25.5">
      <c r="A506" s="29">
        <f t="shared" si="13"/>
        <v>10.039999999999996</v>
      </c>
      <c r="B506" s="6" t="s">
        <v>675</v>
      </c>
      <c r="C506" s="23" t="s">
        <v>677</v>
      </c>
      <c r="D506" s="10">
        <v>0.93</v>
      </c>
      <c r="E506" s="13"/>
      <c r="F506" s="13"/>
      <c r="G506" s="14"/>
    </row>
    <row r="507" spans="1:7" s="5" customFormat="1" ht="12.75">
      <c r="A507" s="29">
        <f t="shared" si="13"/>
        <v>10.040999999999995</v>
      </c>
      <c r="B507" s="6" t="s">
        <v>663</v>
      </c>
      <c r="C507" s="23" t="s">
        <v>11</v>
      </c>
      <c r="D507" s="10">
        <v>2</v>
      </c>
      <c r="E507" s="13"/>
      <c r="F507" s="13"/>
      <c r="G507" s="14"/>
    </row>
    <row r="508" spans="1:7" s="5" customFormat="1" ht="12.75">
      <c r="A508" s="29">
        <f t="shared" si="13"/>
        <v>10.041999999999994</v>
      </c>
      <c r="B508" s="6" t="s">
        <v>664</v>
      </c>
      <c r="C508" s="23" t="s">
        <v>11</v>
      </c>
      <c r="D508" s="10">
        <v>3.8</v>
      </c>
      <c r="E508" s="13"/>
      <c r="F508" s="13"/>
      <c r="G508" s="14"/>
    </row>
    <row r="509" spans="1:7" s="5" customFormat="1" ht="12.75">
      <c r="A509" s="29">
        <f t="shared" si="13"/>
        <v>10.042999999999994</v>
      </c>
      <c r="B509" s="6" t="s">
        <v>676</v>
      </c>
      <c r="C509" s="23" t="s">
        <v>11</v>
      </c>
      <c r="D509" s="10">
        <v>2</v>
      </c>
      <c r="E509" s="13"/>
      <c r="F509" s="13"/>
      <c r="G509" s="14"/>
    </row>
    <row r="510" spans="1:7" s="5" customFormat="1" ht="12.75">
      <c r="A510" s="29">
        <f t="shared" si="13"/>
        <v>10.043999999999993</v>
      </c>
      <c r="B510" s="6" t="s">
        <v>668</v>
      </c>
      <c r="C510" s="23" t="s">
        <v>11</v>
      </c>
      <c r="D510" s="10">
        <v>4.3</v>
      </c>
      <c r="E510" s="13"/>
      <c r="F510" s="13"/>
      <c r="G510" s="14"/>
    </row>
    <row r="511" spans="1:7" s="5" customFormat="1" ht="12.75">
      <c r="A511" s="29">
        <f t="shared" si="13"/>
        <v>10.044999999999993</v>
      </c>
      <c r="B511" s="6" t="s">
        <v>646</v>
      </c>
      <c r="C511" s="23" t="s">
        <v>638</v>
      </c>
      <c r="D511" s="10">
        <v>1</v>
      </c>
      <c r="E511" s="13"/>
      <c r="F511" s="13"/>
      <c r="G511" s="14"/>
    </row>
    <row r="512" spans="1:7" s="5" customFormat="1" ht="12.75">
      <c r="A512" s="29">
        <f t="shared" si="13"/>
        <v>10.045999999999992</v>
      </c>
      <c r="B512" s="6" t="s">
        <v>672</v>
      </c>
      <c r="C512" s="23" t="s">
        <v>638</v>
      </c>
      <c r="D512" s="10">
        <v>1</v>
      </c>
      <c r="E512" s="13"/>
      <c r="F512" s="13"/>
      <c r="G512" s="14"/>
    </row>
    <row r="513" spans="1:7" s="5" customFormat="1" ht="12.75">
      <c r="A513" s="29">
        <f t="shared" si="13"/>
        <v>10.046999999999992</v>
      </c>
      <c r="B513" s="6" t="s">
        <v>654</v>
      </c>
      <c r="C513" s="23" t="s">
        <v>655</v>
      </c>
      <c r="D513" s="10">
        <v>1</v>
      </c>
      <c r="E513" s="13"/>
      <c r="F513" s="13"/>
      <c r="G513" s="14"/>
    </row>
    <row r="514" spans="1:7" s="5" customFormat="1" ht="15">
      <c r="A514" s="29"/>
      <c r="B514" s="21" t="s">
        <v>316</v>
      </c>
      <c r="C514" s="23"/>
      <c r="D514" s="10"/>
      <c r="E514" s="13"/>
      <c r="F514" s="13"/>
      <c r="G514" s="14"/>
    </row>
    <row r="515" spans="1:7" s="5" customFormat="1" ht="12.75">
      <c r="A515" s="29">
        <v>10.039</v>
      </c>
      <c r="B515" s="6" t="s">
        <v>317</v>
      </c>
      <c r="C515" s="23" t="s">
        <v>10</v>
      </c>
      <c r="D515" s="10">
        <v>146.8</v>
      </c>
      <c r="E515" s="13"/>
      <c r="F515" s="13"/>
      <c r="G515" s="14"/>
    </row>
    <row r="516" spans="1:7" s="5" customFormat="1" ht="12.75">
      <c r="A516" s="29">
        <f t="shared" si="13"/>
        <v>10.04</v>
      </c>
      <c r="B516" s="6" t="s">
        <v>359</v>
      </c>
      <c r="C516" s="23" t="s">
        <v>11</v>
      </c>
      <c r="D516" s="10">
        <v>75.52</v>
      </c>
      <c r="E516" s="13"/>
      <c r="F516" s="13"/>
      <c r="G516" s="14"/>
    </row>
    <row r="517" spans="1:7" s="5" customFormat="1" ht="12.75">
      <c r="A517" s="29">
        <f t="shared" si="13"/>
        <v>10.040999999999999</v>
      </c>
      <c r="B517" s="6" t="s">
        <v>358</v>
      </c>
      <c r="C517" s="23" t="s">
        <v>11</v>
      </c>
      <c r="D517" s="10">
        <f>8*9.5*2</f>
        <v>152</v>
      </c>
      <c r="E517" s="13"/>
      <c r="F517" s="13"/>
      <c r="G517" s="14"/>
    </row>
    <row r="518" spans="1:7" s="5" customFormat="1" ht="12.75">
      <c r="A518" s="29">
        <f t="shared" si="13"/>
        <v>10.041999999999998</v>
      </c>
      <c r="B518" s="6" t="s">
        <v>320</v>
      </c>
      <c r="C518" s="23" t="s">
        <v>11</v>
      </c>
      <c r="D518" s="10">
        <f>9.2*4</f>
        <v>36.8</v>
      </c>
      <c r="E518" s="13"/>
      <c r="F518" s="13"/>
      <c r="G518" s="14"/>
    </row>
    <row r="519" spans="1:7" s="5" customFormat="1" ht="12.75">
      <c r="A519" s="29">
        <f t="shared" si="13"/>
        <v>10.042999999999997</v>
      </c>
      <c r="B519" s="6" t="s">
        <v>318</v>
      </c>
      <c r="C519" s="23" t="s">
        <v>319</v>
      </c>
      <c r="D519" s="10">
        <v>1</v>
      </c>
      <c r="E519" s="13"/>
      <c r="F519" s="13"/>
      <c r="G519" s="14"/>
    </row>
    <row r="520" spans="1:7" s="5" customFormat="1" ht="15">
      <c r="A520" s="29"/>
      <c r="B520" s="21" t="s">
        <v>322</v>
      </c>
      <c r="C520" s="23"/>
      <c r="D520" s="10"/>
      <c r="E520" s="13"/>
      <c r="F520" s="13"/>
      <c r="G520" s="14"/>
    </row>
    <row r="521" spans="1:7" s="5" customFormat="1" ht="12.75">
      <c r="A521" s="29">
        <v>10.044</v>
      </c>
      <c r="B521" s="6" t="s">
        <v>325</v>
      </c>
      <c r="C521" s="23" t="s">
        <v>10</v>
      </c>
      <c r="D521" s="10">
        <v>196</v>
      </c>
      <c r="E521" s="13"/>
      <c r="F521" s="13"/>
      <c r="G521" s="14"/>
    </row>
    <row r="522" spans="1:7" s="5" customFormat="1" ht="12.75">
      <c r="A522" s="29">
        <f t="shared" si="13"/>
        <v>10.045</v>
      </c>
      <c r="B522" s="6" t="s">
        <v>323</v>
      </c>
      <c r="C522" s="23" t="s">
        <v>11</v>
      </c>
      <c r="D522" s="10">
        <v>227.7</v>
      </c>
      <c r="E522" s="13"/>
      <c r="F522" s="13"/>
      <c r="G522" s="14"/>
    </row>
    <row r="523" spans="1:7" s="5" customFormat="1" ht="12.75">
      <c r="A523" s="29">
        <f t="shared" si="13"/>
        <v>10.046</v>
      </c>
      <c r="B523" s="6" t="s">
        <v>326</v>
      </c>
      <c r="C523" s="23" t="s">
        <v>10</v>
      </c>
      <c r="D523" s="10">
        <f>+D521+(D524*0.07)</f>
        <v>207.83</v>
      </c>
      <c r="E523" s="13"/>
      <c r="F523" s="13"/>
      <c r="G523" s="14"/>
    </row>
    <row r="524" spans="1:7" s="5" customFormat="1" ht="12.75">
      <c r="A524" s="29">
        <f t="shared" si="13"/>
        <v>10.046999999999999</v>
      </c>
      <c r="B524" s="6" t="s">
        <v>324</v>
      </c>
      <c r="C524" s="23" t="s">
        <v>11</v>
      </c>
      <c r="D524" s="10">
        <f>144+25</f>
        <v>169</v>
      </c>
      <c r="E524" s="13"/>
      <c r="F524" s="13"/>
      <c r="G524" s="14"/>
    </row>
    <row r="525" spans="1:7" s="5" customFormat="1" ht="15">
      <c r="A525" s="29"/>
      <c r="B525" s="21" t="s">
        <v>327</v>
      </c>
      <c r="C525" s="23"/>
      <c r="D525" s="10"/>
      <c r="E525" s="13"/>
      <c r="F525" s="13"/>
      <c r="G525" s="14"/>
    </row>
    <row r="526" spans="1:7" s="5" customFormat="1" ht="12.75">
      <c r="A526" s="29">
        <v>10.048</v>
      </c>
      <c r="B526" s="6" t="s">
        <v>330</v>
      </c>
      <c r="C526" s="23" t="s">
        <v>13</v>
      </c>
      <c r="D526" s="10">
        <v>2</v>
      </c>
      <c r="E526" s="13"/>
      <c r="F526" s="13"/>
      <c r="G526" s="14"/>
    </row>
    <row r="527" spans="1:7" s="5" customFormat="1" ht="12.75">
      <c r="A527" s="29">
        <f t="shared" si="13"/>
        <v>10.049</v>
      </c>
      <c r="B527" s="6" t="s">
        <v>331</v>
      </c>
      <c r="C527" s="23" t="s">
        <v>13</v>
      </c>
      <c r="D527" s="10">
        <v>1</v>
      </c>
      <c r="E527" s="13"/>
      <c r="F527" s="13"/>
      <c r="G527" s="14"/>
    </row>
    <row r="528" spans="1:7" s="5" customFormat="1" ht="12.75">
      <c r="A528" s="29">
        <f t="shared" si="13"/>
        <v>10.049999999999999</v>
      </c>
      <c r="B528" s="6" t="s">
        <v>332</v>
      </c>
      <c r="C528" s="23" t="s">
        <v>13</v>
      </c>
      <c r="D528" s="10">
        <v>1</v>
      </c>
      <c r="E528" s="13"/>
      <c r="F528" s="13"/>
      <c r="G528" s="14"/>
    </row>
    <row r="529" spans="1:7" s="5" customFormat="1" ht="12.75">
      <c r="A529" s="29">
        <f aca="true" t="shared" si="14" ref="A529:A537">+A528+0.001</f>
        <v>10.050999999999998</v>
      </c>
      <c r="B529" s="6" t="s">
        <v>329</v>
      </c>
      <c r="C529" s="23" t="s">
        <v>13</v>
      </c>
      <c r="D529" s="10">
        <v>4</v>
      </c>
      <c r="E529" s="13"/>
      <c r="F529" s="13"/>
      <c r="G529" s="14"/>
    </row>
    <row r="530" spans="1:7" s="5" customFormat="1" ht="12.75">
      <c r="A530" s="29">
        <f t="shared" si="14"/>
        <v>10.051999999999998</v>
      </c>
      <c r="B530" s="6" t="s">
        <v>334</v>
      </c>
      <c r="C530" s="23" t="s">
        <v>159</v>
      </c>
      <c r="D530" s="10">
        <f>(47.65*10.76)*1.05</f>
        <v>538.3497</v>
      </c>
      <c r="E530" s="13"/>
      <c r="F530" s="13"/>
      <c r="G530" s="14"/>
    </row>
    <row r="531" spans="1:7" s="5" customFormat="1" ht="15">
      <c r="A531" s="29"/>
      <c r="B531" s="21" t="s">
        <v>338</v>
      </c>
      <c r="C531" s="23"/>
      <c r="D531" s="10"/>
      <c r="E531" s="13"/>
      <c r="F531" s="13"/>
      <c r="G531" s="14"/>
    </row>
    <row r="532" spans="1:7" s="5" customFormat="1" ht="12.75">
      <c r="A532" s="29">
        <v>10.053</v>
      </c>
      <c r="B532" s="6" t="s">
        <v>336</v>
      </c>
      <c r="C532" s="23" t="s">
        <v>11</v>
      </c>
      <c r="D532" s="10">
        <f>42*1.5</f>
        <v>63</v>
      </c>
      <c r="E532" s="13"/>
      <c r="F532" s="13"/>
      <c r="G532" s="14"/>
    </row>
    <row r="533" spans="1:7" s="5" customFormat="1" ht="12.75">
      <c r="A533" s="29">
        <f t="shared" si="14"/>
        <v>10.054</v>
      </c>
      <c r="B533" s="6" t="s">
        <v>335</v>
      </c>
      <c r="C533" s="23" t="s">
        <v>16</v>
      </c>
      <c r="D533" s="10">
        <f>54*1.2*0.3</f>
        <v>19.439999999999998</v>
      </c>
      <c r="E533" s="13"/>
      <c r="F533" s="13"/>
      <c r="G533" s="14"/>
    </row>
    <row r="534" spans="1:7" s="5" customFormat="1" ht="12.75">
      <c r="A534" s="29">
        <f t="shared" si="14"/>
        <v>10.055</v>
      </c>
      <c r="B534" s="6" t="s">
        <v>337</v>
      </c>
      <c r="C534" s="23" t="s">
        <v>10</v>
      </c>
      <c r="D534" s="10">
        <f>54*1.2</f>
        <v>64.8</v>
      </c>
      <c r="E534" s="13"/>
      <c r="F534" s="13"/>
      <c r="G534" s="14"/>
    </row>
    <row r="535" spans="1:7" s="5" customFormat="1" ht="15">
      <c r="A535" s="29"/>
      <c r="B535" s="21" t="s">
        <v>339</v>
      </c>
      <c r="C535" s="23"/>
      <c r="D535" s="10"/>
      <c r="E535" s="13"/>
      <c r="F535" s="13"/>
      <c r="G535" s="14"/>
    </row>
    <row r="536" spans="1:7" s="5" customFormat="1" ht="12.75">
      <c r="A536" s="29">
        <v>10.056</v>
      </c>
      <c r="B536" s="6" t="s">
        <v>342</v>
      </c>
      <c r="C536" s="23" t="s">
        <v>10</v>
      </c>
      <c r="D536" s="10">
        <f>+D499+165</f>
        <v>452.6</v>
      </c>
      <c r="E536" s="13"/>
      <c r="F536" s="13"/>
      <c r="G536" s="14"/>
    </row>
    <row r="537" spans="1:7" s="5" customFormat="1" ht="12.75">
      <c r="A537" s="29">
        <f t="shared" si="14"/>
        <v>10.056999999999999</v>
      </c>
      <c r="B537" s="6" t="s">
        <v>340</v>
      </c>
      <c r="C537" s="23" t="s">
        <v>10</v>
      </c>
      <c r="D537" s="10">
        <f>+((D499+D491)*1.07)*0.6</f>
        <v>265.788</v>
      </c>
      <c r="E537" s="13"/>
      <c r="F537" s="13"/>
      <c r="G537" s="14"/>
    </row>
    <row r="538" spans="1:7" s="5" customFormat="1" ht="12.75">
      <c r="A538" s="29">
        <f>+A537+0.001</f>
        <v>10.057999999999998</v>
      </c>
      <c r="B538" s="6" t="s">
        <v>341</v>
      </c>
      <c r="C538" s="23" t="s">
        <v>10</v>
      </c>
      <c r="D538" s="10">
        <f>+D536-D537</f>
        <v>186.812</v>
      </c>
      <c r="E538" s="13"/>
      <c r="F538" s="13"/>
      <c r="G538" s="14"/>
    </row>
    <row r="539" spans="1:7" s="5" customFormat="1" ht="15">
      <c r="A539" s="29"/>
      <c r="B539" s="21" t="s">
        <v>385</v>
      </c>
      <c r="C539" s="23"/>
      <c r="D539" s="10"/>
      <c r="E539" s="13"/>
      <c r="F539" s="13"/>
      <c r="G539" s="14"/>
    </row>
    <row r="540" spans="1:7" s="5" customFormat="1" ht="12.75">
      <c r="A540" s="29">
        <v>10.059</v>
      </c>
      <c r="B540" s="6" t="s">
        <v>386</v>
      </c>
      <c r="C540" s="23" t="s">
        <v>10</v>
      </c>
      <c r="D540" s="10">
        <f>3.5*3.2</f>
        <v>11.200000000000001</v>
      </c>
      <c r="E540" s="13"/>
      <c r="F540" s="13"/>
      <c r="G540" s="14"/>
    </row>
    <row r="541" spans="1:7" s="5" customFormat="1" ht="12.75">
      <c r="A541" s="29"/>
      <c r="B541" s="6"/>
      <c r="C541" s="23"/>
      <c r="D541" s="10"/>
      <c r="E541" s="13"/>
      <c r="F541" s="13"/>
      <c r="G541" s="14"/>
    </row>
    <row r="542" spans="1:7" s="5" customFormat="1" ht="13.5" thickBot="1">
      <c r="A542" s="29"/>
      <c r="B542" s="6"/>
      <c r="C542" s="23"/>
      <c r="D542" s="10"/>
      <c r="E542" s="13"/>
      <c r="F542" s="13"/>
      <c r="G542" s="14"/>
    </row>
    <row r="543" spans="1:7" s="5" customFormat="1" ht="13.5" thickBot="1">
      <c r="A543" s="29"/>
      <c r="B543" s="6"/>
      <c r="C543" s="23"/>
      <c r="D543" s="10"/>
      <c r="E543" s="71" t="str">
        <f>+B460</f>
        <v>Construcción Biblioteca</v>
      </c>
      <c r="F543" s="72"/>
      <c r="G543" s="16">
        <f>SUM(F460:F542)</f>
        <v>0</v>
      </c>
    </row>
    <row r="544" spans="2:7" ht="15.75" thickBot="1">
      <c r="B544" s="15"/>
      <c r="C544" s="12"/>
      <c r="D544" s="25"/>
      <c r="E544" s="13"/>
      <c r="F544" s="13"/>
      <c r="G544" s="24"/>
    </row>
    <row r="545" spans="1:7" ht="32.25" thickBot="1">
      <c r="A545" s="28">
        <v>11</v>
      </c>
      <c r="B545" s="61" t="s">
        <v>394</v>
      </c>
      <c r="C545" s="23"/>
      <c r="D545" s="10"/>
      <c r="E545" s="13"/>
      <c r="F545" s="13"/>
      <c r="G545" s="14"/>
    </row>
    <row r="546" spans="1:7" ht="15">
      <c r="A546" s="29">
        <f>+A545+0.001</f>
        <v>11.001</v>
      </c>
      <c r="B546" s="6" t="s">
        <v>397</v>
      </c>
      <c r="C546" s="23" t="s">
        <v>10</v>
      </c>
      <c r="D546" s="10">
        <v>212.88</v>
      </c>
      <c r="E546" s="13"/>
      <c r="F546" s="13"/>
      <c r="G546" s="14"/>
    </row>
    <row r="547" spans="1:7" ht="15">
      <c r="A547" s="29"/>
      <c r="B547" s="21" t="s">
        <v>265</v>
      </c>
      <c r="C547" s="23"/>
      <c r="D547" s="10"/>
      <c r="E547" s="13"/>
      <c r="F547" s="13"/>
      <c r="G547" s="14"/>
    </row>
    <row r="548" spans="1:7" ht="15">
      <c r="A548" s="29">
        <v>11.002</v>
      </c>
      <c r="B548" s="6" t="s">
        <v>427</v>
      </c>
      <c r="C548" s="23" t="s">
        <v>15</v>
      </c>
      <c r="D548" s="10">
        <f>1*1*0.3*20</f>
        <v>6</v>
      </c>
      <c r="E548" s="13"/>
      <c r="F548" s="13"/>
      <c r="G548" s="14"/>
    </row>
    <row r="549" spans="1:7" ht="15">
      <c r="A549" s="29">
        <f aca="true" t="shared" si="15" ref="A549:A612">+A548+0.001</f>
        <v>11.003</v>
      </c>
      <c r="B549" s="6" t="s">
        <v>428</v>
      </c>
      <c r="C549" s="23" t="s">
        <v>15</v>
      </c>
      <c r="D549" s="10">
        <f>98.91*1.05*0.2</f>
        <v>20.771100000000004</v>
      </c>
      <c r="E549" s="13"/>
      <c r="F549" s="13"/>
      <c r="G549" s="14"/>
    </row>
    <row r="550" spans="1:7" ht="15">
      <c r="A550" s="29"/>
      <c r="B550" s="21" t="s">
        <v>271</v>
      </c>
      <c r="C550" s="23"/>
      <c r="D550" s="10"/>
      <c r="E550" s="13"/>
      <c r="F550" s="13"/>
      <c r="G550" s="14"/>
    </row>
    <row r="551" spans="1:7" ht="15">
      <c r="A551" s="29">
        <v>11.004</v>
      </c>
      <c r="B551" s="6" t="s">
        <v>429</v>
      </c>
      <c r="C551" s="23" t="s">
        <v>0</v>
      </c>
      <c r="D551" s="10">
        <f>98.91*0.3</f>
        <v>29.673</v>
      </c>
      <c r="E551" s="13"/>
      <c r="F551" s="13"/>
      <c r="G551" s="14"/>
    </row>
    <row r="552" spans="1:7" ht="15">
      <c r="A552" s="29"/>
      <c r="B552" s="21" t="s">
        <v>388</v>
      </c>
      <c r="C552" s="23"/>
      <c r="D552" s="10"/>
      <c r="E552" s="13"/>
      <c r="F552" s="13"/>
      <c r="G552" s="14"/>
    </row>
    <row r="553" spans="1:7" ht="15">
      <c r="A553" s="29">
        <v>11.005</v>
      </c>
      <c r="B553" s="6" t="s">
        <v>278</v>
      </c>
      <c r="C553" s="23" t="s">
        <v>0</v>
      </c>
      <c r="D553" s="10">
        <f>0.2*0.2*3.4*20</f>
        <v>2.72</v>
      </c>
      <c r="E553" s="13"/>
      <c r="F553" s="13"/>
      <c r="G553" s="14"/>
    </row>
    <row r="554" spans="1:7" ht="15">
      <c r="A554" s="29">
        <f t="shared" si="15"/>
        <v>11.006</v>
      </c>
      <c r="B554" s="6" t="s">
        <v>430</v>
      </c>
      <c r="C554" s="23" t="s">
        <v>0</v>
      </c>
      <c r="D554" s="10">
        <f>2*0.2*0.2*3.4</f>
        <v>0.272</v>
      </c>
      <c r="E554" s="13"/>
      <c r="F554" s="13"/>
      <c r="G554" s="14"/>
    </row>
    <row r="555" spans="1:7" ht="15">
      <c r="A555" s="29">
        <f t="shared" si="15"/>
        <v>11.007</v>
      </c>
      <c r="B555" s="6" t="s">
        <v>431</v>
      </c>
      <c r="C555" s="23" t="s">
        <v>0</v>
      </c>
      <c r="D555" s="10">
        <f>0.4*0.2*3.4*32</f>
        <v>8.704</v>
      </c>
      <c r="E555" s="13"/>
      <c r="F555" s="13"/>
      <c r="G555" s="14"/>
    </row>
    <row r="556" spans="1:7" ht="15">
      <c r="A556" s="29">
        <f t="shared" si="15"/>
        <v>11.008</v>
      </c>
      <c r="B556" s="6" t="s">
        <v>432</v>
      </c>
      <c r="C556" s="23" t="s">
        <v>0</v>
      </c>
      <c r="D556" s="10">
        <f>0.2*0.34*22</f>
        <v>1.496</v>
      </c>
      <c r="E556" s="13"/>
      <c r="F556" s="13"/>
      <c r="G556" s="14"/>
    </row>
    <row r="557" spans="1:7" ht="15">
      <c r="A557" s="29">
        <f t="shared" si="15"/>
        <v>11.008999999999999</v>
      </c>
      <c r="B557" s="6" t="s">
        <v>433</v>
      </c>
      <c r="C557" s="23" t="s">
        <v>0</v>
      </c>
      <c r="D557" s="10">
        <f>0.2*0.32*4.4*2</f>
        <v>0.5632</v>
      </c>
      <c r="E557" s="13"/>
      <c r="F557" s="13"/>
      <c r="G557" s="14"/>
    </row>
    <row r="558" spans="1:7" ht="15">
      <c r="A558" s="29">
        <f t="shared" si="15"/>
        <v>11.009999999999998</v>
      </c>
      <c r="B558" s="6" t="s">
        <v>434</v>
      </c>
      <c r="C558" s="23" t="s">
        <v>0</v>
      </c>
      <c r="D558" s="10">
        <f>0.32*0.2*2*2</f>
        <v>0.256</v>
      </c>
      <c r="E558" s="13"/>
      <c r="F558" s="13"/>
      <c r="G558" s="14"/>
    </row>
    <row r="559" spans="1:7" ht="15">
      <c r="A559" s="29">
        <f t="shared" si="15"/>
        <v>11.010999999999997</v>
      </c>
      <c r="B559" s="6" t="s">
        <v>435</v>
      </c>
      <c r="C559" s="23" t="s">
        <v>0</v>
      </c>
      <c r="D559" s="10">
        <f>0.62*0.2*8.4*2</f>
        <v>2.0832</v>
      </c>
      <c r="E559" s="13"/>
      <c r="F559" s="13"/>
      <c r="G559" s="14"/>
    </row>
    <row r="560" spans="1:7" ht="15">
      <c r="A560" s="29">
        <f t="shared" si="15"/>
        <v>11.011999999999997</v>
      </c>
      <c r="B560" s="6" t="s">
        <v>280</v>
      </c>
      <c r="C560" s="23" t="s">
        <v>0</v>
      </c>
      <c r="D560" s="10">
        <f>0.3*0.2*4.78</f>
        <v>0.2868</v>
      </c>
      <c r="E560" s="13"/>
      <c r="F560" s="13"/>
      <c r="G560" s="14"/>
    </row>
    <row r="561" spans="1:7" ht="15">
      <c r="A561" s="29">
        <f t="shared" si="15"/>
        <v>11.012999999999996</v>
      </c>
      <c r="B561" s="47" t="s">
        <v>402</v>
      </c>
      <c r="C561" s="48" t="s">
        <v>0</v>
      </c>
      <c r="D561" s="49">
        <f>82.02*0.12</f>
        <v>9.8424</v>
      </c>
      <c r="E561" s="50"/>
      <c r="F561" s="50"/>
      <c r="G561" s="14"/>
    </row>
    <row r="562" spans="1:7" ht="15">
      <c r="A562" s="29">
        <f t="shared" si="15"/>
        <v>11.013999999999996</v>
      </c>
      <c r="B562" s="47" t="s">
        <v>398</v>
      </c>
      <c r="C562" s="48" t="s">
        <v>0</v>
      </c>
      <c r="D562" s="49">
        <f>18.8*0.4*0.2</f>
        <v>1.5040000000000002</v>
      </c>
      <c r="E562" s="50"/>
      <c r="F562" s="50"/>
      <c r="G562" s="14"/>
    </row>
    <row r="563" spans="1:7" ht="15">
      <c r="A563" s="29">
        <f t="shared" si="15"/>
        <v>11.014999999999995</v>
      </c>
      <c r="B563" s="47" t="s">
        <v>399</v>
      </c>
      <c r="C563" s="48" t="s">
        <v>0</v>
      </c>
      <c r="D563" s="49">
        <f>4*2*0.2*0.2</f>
        <v>0.32000000000000006</v>
      </c>
      <c r="E563" s="50"/>
      <c r="F563" s="50"/>
      <c r="G563" s="14"/>
    </row>
    <row r="564" spans="1:7" ht="15">
      <c r="A564" s="29"/>
      <c r="B564" s="21" t="s">
        <v>288</v>
      </c>
      <c r="C564" s="48"/>
      <c r="D564" s="49"/>
      <c r="E564" s="50"/>
      <c r="F564" s="50"/>
      <c r="G564" s="14"/>
    </row>
    <row r="565" spans="1:7" ht="15">
      <c r="A565" s="29">
        <f>+A563+0.001</f>
        <v>11.015999999999995</v>
      </c>
      <c r="B565" s="47" t="s">
        <v>289</v>
      </c>
      <c r="C565" s="48" t="s">
        <v>10</v>
      </c>
      <c r="D565" s="49">
        <f>+D561/0.12</f>
        <v>82.02</v>
      </c>
      <c r="E565" s="50"/>
      <c r="F565" s="50"/>
      <c r="G565" s="14"/>
    </row>
    <row r="566" spans="1:7" ht="15">
      <c r="A566" s="29">
        <f t="shared" si="15"/>
        <v>11.016999999999994</v>
      </c>
      <c r="B566" s="47" t="s">
        <v>290</v>
      </c>
      <c r="C566" s="48" t="s">
        <v>11</v>
      </c>
      <c r="D566" s="49">
        <f>+D565*0.862</f>
        <v>70.70124</v>
      </c>
      <c r="E566" s="50"/>
      <c r="F566" s="50"/>
      <c r="G566" s="14"/>
    </row>
    <row r="567" spans="1:7" ht="15">
      <c r="A567" s="29">
        <f t="shared" si="15"/>
        <v>11.017999999999994</v>
      </c>
      <c r="B567" s="47" t="s">
        <v>291</v>
      </c>
      <c r="C567" s="48" t="s">
        <v>10</v>
      </c>
      <c r="D567" s="49">
        <f>+D565*1.42</f>
        <v>116.46839999999999</v>
      </c>
      <c r="E567" s="50"/>
      <c r="F567" s="50"/>
      <c r="G567" s="14"/>
    </row>
    <row r="568" spans="1:7" ht="15">
      <c r="A568" s="29">
        <f t="shared" si="15"/>
        <v>11.018999999999993</v>
      </c>
      <c r="B568" s="47" t="s">
        <v>400</v>
      </c>
      <c r="C568" s="48" t="s">
        <v>11</v>
      </c>
      <c r="D568" s="49">
        <f>3.2*2</f>
        <v>6.4</v>
      </c>
      <c r="E568" s="50"/>
      <c r="F568" s="50"/>
      <c r="G568" s="14"/>
    </row>
    <row r="569" spans="1:7" ht="15">
      <c r="A569" s="29"/>
      <c r="B569" s="21" t="s">
        <v>296</v>
      </c>
      <c r="C569" s="48"/>
      <c r="D569" s="49"/>
      <c r="E569" s="50"/>
      <c r="F569" s="50"/>
      <c r="G569" s="14"/>
    </row>
    <row r="570" spans="1:7" ht="15">
      <c r="A570" s="29">
        <v>11.02</v>
      </c>
      <c r="B570" s="47" t="s">
        <v>297</v>
      </c>
      <c r="C570" s="48" t="s">
        <v>10</v>
      </c>
      <c r="D570" s="49">
        <f>(81.92*2.8)-(D615/10.76)</f>
        <v>186.896</v>
      </c>
      <c r="E570" s="50"/>
      <c r="F570" s="50"/>
      <c r="G570" s="14"/>
    </row>
    <row r="571" spans="1:7" ht="15">
      <c r="A571" s="29"/>
      <c r="B571" s="21" t="s">
        <v>292</v>
      </c>
      <c r="C571" s="48"/>
      <c r="D571" s="49"/>
      <c r="E571" s="50"/>
      <c r="F571" s="50"/>
      <c r="G571" s="14"/>
    </row>
    <row r="572" spans="1:7" ht="15">
      <c r="A572" s="29">
        <v>11.021</v>
      </c>
      <c r="B572" s="47" t="s">
        <v>262</v>
      </c>
      <c r="C572" s="48" t="s">
        <v>10</v>
      </c>
      <c r="D572" s="49">
        <f>+D570*2-(D615/10.76)</f>
        <v>331.31199999999995</v>
      </c>
      <c r="E572" s="50"/>
      <c r="F572" s="50"/>
      <c r="G572" s="14"/>
    </row>
    <row r="573" spans="1:7" ht="15">
      <c r="A573" s="29">
        <f t="shared" si="15"/>
        <v>11.022</v>
      </c>
      <c r="B573" s="47" t="s">
        <v>293</v>
      </c>
      <c r="C573" s="48" t="s">
        <v>10</v>
      </c>
      <c r="D573" s="49">
        <f>+D572</f>
        <v>331.31199999999995</v>
      </c>
      <c r="E573" s="50"/>
      <c r="F573" s="50"/>
      <c r="G573" s="14"/>
    </row>
    <row r="574" spans="1:7" ht="15">
      <c r="A574" s="29">
        <f t="shared" si="15"/>
        <v>11.023</v>
      </c>
      <c r="B574" s="51" t="s">
        <v>309</v>
      </c>
      <c r="C574" s="48" t="s">
        <v>11</v>
      </c>
      <c r="D574" s="49">
        <f>+D573*0.8321</f>
        <v>275.68471519999997</v>
      </c>
      <c r="E574" s="50"/>
      <c r="F574" s="50"/>
      <c r="G574" s="14"/>
    </row>
    <row r="575" spans="1:7" ht="15">
      <c r="A575" s="29">
        <f t="shared" si="15"/>
        <v>11.024</v>
      </c>
      <c r="B575" s="47" t="s">
        <v>294</v>
      </c>
      <c r="C575" s="48" t="s">
        <v>10</v>
      </c>
      <c r="D575" s="49">
        <v>35.28</v>
      </c>
      <c r="E575" s="50"/>
      <c r="F575" s="50"/>
      <c r="G575" s="14"/>
    </row>
    <row r="576" spans="1:7" ht="15">
      <c r="A576" s="29">
        <f t="shared" si="15"/>
        <v>11.024999999999999</v>
      </c>
      <c r="B576" s="47" t="s">
        <v>299</v>
      </c>
      <c r="C576" s="48" t="s">
        <v>10</v>
      </c>
      <c r="D576" s="49">
        <v>30.76</v>
      </c>
      <c r="E576" s="50"/>
      <c r="F576" s="50"/>
      <c r="G576" s="14"/>
    </row>
    <row r="577" spans="1:7" ht="15">
      <c r="A577" s="29">
        <f t="shared" si="15"/>
        <v>11.025999999999998</v>
      </c>
      <c r="B577" s="47" t="s">
        <v>300</v>
      </c>
      <c r="C577" s="48" t="s">
        <v>11</v>
      </c>
      <c r="D577" s="49">
        <f>11*2</f>
        <v>22</v>
      </c>
      <c r="E577" s="50"/>
      <c r="F577" s="50"/>
      <c r="G577" s="14"/>
    </row>
    <row r="578" spans="1:7" ht="15">
      <c r="A578" s="29"/>
      <c r="B578" s="21" t="s">
        <v>316</v>
      </c>
      <c r="C578" s="48"/>
      <c r="D578" s="49"/>
      <c r="E578" s="50"/>
      <c r="F578" s="50"/>
      <c r="G578" s="14"/>
    </row>
    <row r="579" spans="1:7" ht="15">
      <c r="A579" s="29">
        <v>11.027</v>
      </c>
      <c r="B579" s="47" t="s">
        <v>317</v>
      </c>
      <c r="C579" s="48" t="s">
        <v>10</v>
      </c>
      <c r="D579" s="49">
        <f>100.1*1.05</f>
        <v>105.105</v>
      </c>
      <c r="E579" s="50"/>
      <c r="F579" s="50"/>
      <c r="G579" s="14"/>
    </row>
    <row r="580" spans="1:7" ht="15">
      <c r="A580" s="29">
        <f t="shared" si="15"/>
        <v>11.027999999999999</v>
      </c>
      <c r="B580" s="47" t="s">
        <v>359</v>
      </c>
      <c r="C580" s="48" t="s">
        <v>11</v>
      </c>
      <c r="D580" s="49">
        <f>2*12.8</f>
        <v>25.6</v>
      </c>
      <c r="E580" s="50"/>
      <c r="F580" s="50"/>
      <c r="G580" s="14"/>
    </row>
    <row r="581" spans="1:7" ht="15">
      <c r="A581" s="29">
        <f t="shared" si="15"/>
        <v>11.028999999999998</v>
      </c>
      <c r="B581" s="47" t="s">
        <v>358</v>
      </c>
      <c r="C581" s="48" t="s">
        <v>11</v>
      </c>
      <c r="D581" s="49">
        <f>6*11.2</f>
        <v>67.19999999999999</v>
      </c>
      <c r="E581" s="50"/>
      <c r="F581" s="50"/>
      <c r="G581" s="14"/>
    </row>
    <row r="582" spans="1:7" ht="15">
      <c r="A582" s="29">
        <f t="shared" si="15"/>
        <v>11.029999999999998</v>
      </c>
      <c r="B582" s="47" t="s">
        <v>320</v>
      </c>
      <c r="C582" s="48" t="s">
        <v>11</v>
      </c>
      <c r="D582" s="49">
        <f>11.2*2</f>
        <v>22.4</v>
      </c>
      <c r="E582" s="50"/>
      <c r="F582" s="50"/>
      <c r="G582" s="14"/>
    </row>
    <row r="583" spans="1:7" ht="15">
      <c r="A583" s="29">
        <f t="shared" si="15"/>
        <v>11.030999999999997</v>
      </c>
      <c r="B583" s="47" t="s">
        <v>318</v>
      </c>
      <c r="C583" s="48" t="s">
        <v>319</v>
      </c>
      <c r="D583" s="49">
        <v>1</v>
      </c>
      <c r="E583" s="50"/>
      <c r="F583" s="50"/>
      <c r="G583" s="14"/>
    </row>
    <row r="584" spans="1:7" ht="15">
      <c r="A584" s="29"/>
      <c r="B584" s="21" t="s">
        <v>322</v>
      </c>
      <c r="C584" s="48"/>
      <c r="D584" s="49"/>
      <c r="E584" s="50"/>
      <c r="F584" s="50"/>
      <c r="G584" s="14"/>
    </row>
    <row r="585" spans="1:7" ht="15">
      <c r="A585" s="29">
        <v>11.032</v>
      </c>
      <c r="B585" s="47" t="s">
        <v>325</v>
      </c>
      <c r="C585" s="48" t="s">
        <v>10</v>
      </c>
      <c r="D585" s="49">
        <f>134*1.05</f>
        <v>140.70000000000002</v>
      </c>
      <c r="E585" s="50"/>
      <c r="F585" s="50"/>
      <c r="G585" s="14"/>
    </row>
    <row r="586" spans="1:7" ht="15">
      <c r="A586" s="29">
        <f t="shared" si="15"/>
        <v>11.033</v>
      </c>
      <c r="B586" s="47" t="s">
        <v>323</v>
      </c>
      <c r="C586" s="48" t="s">
        <v>11</v>
      </c>
      <c r="D586" s="49">
        <v>227.7</v>
      </c>
      <c r="E586" s="50"/>
      <c r="F586" s="50"/>
      <c r="G586" s="14"/>
    </row>
    <row r="587" spans="1:7" ht="15">
      <c r="A587" s="29">
        <f t="shared" si="15"/>
        <v>11.033999999999999</v>
      </c>
      <c r="B587" s="47" t="s">
        <v>326</v>
      </c>
      <c r="C587" s="48" t="s">
        <v>10</v>
      </c>
      <c r="D587" s="49">
        <f>+D585+(D588*0.07)</f>
        <v>146.23980000000003</v>
      </c>
      <c r="E587" s="50"/>
      <c r="F587" s="50"/>
      <c r="G587" s="14"/>
    </row>
    <row r="588" spans="1:7" ht="15">
      <c r="A588" s="29">
        <f t="shared" si="15"/>
        <v>11.034999999999998</v>
      </c>
      <c r="B588" s="47" t="s">
        <v>324</v>
      </c>
      <c r="C588" s="48" t="s">
        <v>11</v>
      </c>
      <c r="D588" s="49">
        <v>79.14</v>
      </c>
      <c r="E588" s="50"/>
      <c r="F588" s="50"/>
      <c r="G588" s="14"/>
    </row>
    <row r="589" spans="1:7" ht="15">
      <c r="A589" s="29"/>
      <c r="B589" s="21" t="s">
        <v>363</v>
      </c>
      <c r="C589" s="48"/>
      <c r="D589" s="49"/>
      <c r="E589" s="50"/>
      <c r="F589" s="50"/>
      <c r="G589" s="14"/>
    </row>
    <row r="590" spans="1:7" ht="15">
      <c r="A590" s="29">
        <v>11.036</v>
      </c>
      <c r="B590" s="47" t="s">
        <v>599</v>
      </c>
      <c r="C590" s="48" t="s">
        <v>12</v>
      </c>
      <c r="D590" s="49">
        <v>1</v>
      </c>
      <c r="E590" s="50"/>
      <c r="F590" s="50"/>
      <c r="G590" s="14"/>
    </row>
    <row r="591" spans="1:7" ht="15">
      <c r="A591" s="29">
        <f t="shared" si="15"/>
        <v>11.036999999999999</v>
      </c>
      <c r="B591" s="47" t="s">
        <v>380</v>
      </c>
      <c r="C591" s="48" t="s">
        <v>12</v>
      </c>
      <c r="D591" s="49">
        <v>1</v>
      </c>
      <c r="E591" s="50"/>
      <c r="F591" s="50"/>
      <c r="G591" s="14"/>
    </row>
    <row r="592" spans="1:7" ht="15">
      <c r="A592" s="29">
        <f t="shared" si="15"/>
        <v>11.037999999999998</v>
      </c>
      <c r="B592" s="47" t="s">
        <v>381</v>
      </c>
      <c r="C592" s="48" t="s">
        <v>12</v>
      </c>
      <c r="D592" s="49">
        <v>1</v>
      </c>
      <c r="E592" s="50"/>
      <c r="F592" s="50"/>
      <c r="G592" s="14"/>
    </row>
    <row r="593" spans="1:7" ht="25.5">
      <c r="A593" s="29">
        <f t="shared" si="15"/>
        <v>11.038999999999998</v>
      </c>
      <c r="B593" s="47" t="s">
        <v>403</v>
      </c>
      <c r="C593" s="48" t="s">
        <v>27</v>
      </c>
      <c r="D593" s="49">
        <v>2</v>
      </c>
      <c r="E593" s="50"/>
      <c r="F593" s="50"/>
      <c r="G593" s="14"/>
    </row>
    <row r="594" spans="1:7" ht="15">
      <c r="A594" s="29">
        <f t="shared" si="15"/>
        <v>11.039999999999997</v>
      </c>
      <c r="B594" s="47" t="s">
        <v>368</v>
      </c>
      <c r="C594" s="48" t="s">
        <v>364</v>
      </c>
      <c r="D594" s="49">
        <f>3*3.28</f>
        <v>9.84</v>
      </c>
      <c r="E594" s="50"/>
      <c r="F594" s="50"/>
      <c r="G594" s="14"/>
    </row>
    <row r="595" spans="1:7" ht="25.5">
      <c r="A595" s="29">
        <f t="shared" si="15"/>
        <v>11.040999999999997</v>
      </c>
      <c r="B595" s="47" t="s">
        <v>371</v>
      </c>
      <c r="C595" s="48" t="s">
        <v>27</v>
      </c>
      <c r="D595" s="49">
        <v>2</v>
      </c>
      <c r="E595" s="50"/>
      <c r="F595" s="50"/>
      <c r="G595" s="14"/>
    </row>
    <row r="596" spans="1:7" ht="15">
      <c r="A596" s="29">
        <f t="shared" si="15"/>
        <v>11.041999999999996</v>
      </c>
      <c r="B596" s="47" t="s">
        <v>367</v>
      </c>
      <c r="C596" s="48" t="s">
        <v>27</v>
      </c>
      <c r="D596" s="49">
        <v>2</v>
      </c>
      <c r="E596" s="50"/>
      <c r="F596" s="50"/>
      <c r="G596" s="14"/>
    </row>
    <row r="597" spans="1:7" ht="25.5">
      <c r="A597" s="29">
        <f t="shared" si="15"/>
        <v>11.042999999999996</v>
      </c>
      <c r="B597" s="47" t="s">
        <v>366</v>
      </c>
      <c r="C597" s="48" t="s">
        <v>27</v>
      </c>
      <c r="D597" s="49">
        <v>2</v>
      </c>
      <c r="E597" s="50"/>
      <c r="F597" s="50"/>
      <c r="G597" s="14"/>
    </row>
    <row r="598" spans="1:7" ht="25.5">
      <c r="A598" s="29">
        <f t="shared" si="15"/>
        <v>11.043999999999995</v>
      </c>
      <c r="B598" s="47" t="s">
        <v>372</v>
      </c>
      <c r="C598" s="48" t="s">
        <v>27</v>
      </c>
      <c r="D598" s="49">
        <v>2</v>
      </c>
      <c r="E598" s="50"/>
      <c r="F598" s="50"/>
      <c r="G598" s="14"/>
    </row>
    <row r="599" spans="1:7" ht="15">
      <c r="A599" s="29">
        <f t="shared" si="15"/>
        <v>11.044999999999995</v>
      </c>
      <c r="B599" s="47" t="s">
        <v>365</v>
      </c>
      <c r="C599" s="48" t="s">
        <v>27</v>
      </c>
      <c r="D599" s="49">
        <v>2</v>
      </c>
      <c r="E599" s="50"/>
      <c r="F599" s="50"/>
      <c r="G599" s="14"/>
    </row>
    <row r="600" spans="1:7" ht="15">
      <c r="A600" s="29">
        <f t="shared" si="15"/>
        <v>11.045999999999994</v>
      </c>
      <c r="B600" s="47" t="s">
        <v>374</v>
      </c>
      <c r="C600" s="48" t="s">
        <v>27</v>
      </c>
      <c r="D600" s="49">
        <v>2</v>
      </c>
      <c r="E600" s="50"/>
      <c r="F600" s="50"/>
      <c r="G600" s="14"/>
    </row>
    <row r="601" spans="1:7" ht="15">
      <c r="A601" s="29">
        <f t="shared" si="15"/>
        <v>11.046999999999993</v>
      </c>
      <c r="B601" s="47" t="s">
        <v>375</v>
      </c>
      <c r="C601" s="48" t="s">
        <v>27</v>
      </c>
      <c r="D601" s="49">
        <v>2</v>
      </c>
      <c r="E601" s="50"/>
      <c r="F601" s="50"/>
      <c r="G601" s="14"/>
    </row>
    <row r="602" spans="1:7" ht="15">
      <c r="A602" s="29">
        <f t="shared" si="15"/>
        <v>11.047999999999993</v>
      </c>
      <c r="B602" s="47" t="s">
        <v>376</v>
      </c>
      <c r="C602" s="48" t="s">
        <v>27</v>
      </c>
      <c r="D602" s="49">
        <v>2</v>
      </c>
      <c r="E602" s="50"/>
      <c r="F602" s="50"/>
      <c r="G602" s="14"/>
    </row>
    <row r="603" spans="1:7" ht="15">
      <c r="A603" s="29">
        <f t="shared" si="15"/>
        <v>11.048999999999992</v>
      </c>
      <c r="B603" s="47" t="s">
        <v>377</v>
      </c>
      <c r="C603" s="48" t="s">
        <v>27</v>
      </c>
      <c r="D603" s="49">
        <v>2</v>
      </c>
      <c r="E603" s="50"/>
      <c r="F603" s="50"/>
      <c r="G603" s="14"/>
    </row>
    <row r="604" spans="1:7" ht="15">
      <c r="A604" s="29">
        <f t="shared" si="15"/>
        <v>11.049999999999992</v>
      </c>
      <c r="B604" s="47" t="s">
        <v>383</v>
      </c>
      <c r="C604" s="48" t="s">
        <v>13</v>
      </c>
      <c r="D604" s="49">
        <v>2</v>
      </c>
      <c r="E604" s="50"/>
      <c r="F604" s="50"/>
      <c r="G604" s="14"/>
    </row>
    <row r="605" spans="1:7" ht="15">
      <c r="A605" s="29">
        <f t="shared" si="15"/>
        <v>11.050999999999991</v>
      </c>
      <c r="B605" s="47" t="s">
        <v>666</v>
      </c>
      <c r="C605" s="48" t="s">
        <v>11</v>
      </c>
      <c r="D605" s="49">
        <v>10.71</v>
      </c>
      <c r="E605" s="50"/>
      <c r="F605" s="50"/>
      <c r="G605" s="14"/>
    </row>
    <row r="606" spans="1:7" ht="15">
      <c r="A606" s="29">
        <f t="shared" si="15"/>
        <v>11.05199999999999</v>
      </c>
      <c r="B606" s="47" t="s">
        <v>667</v>
      </c>
      <c r="C606" s="48" t="s">
        <v>11</v>
      </c>
      <c r="D606" s="49">
        <v>7.14</v>
      </c>
      <c r="E606" s="50"/>
      <c r="F606" s="50"/>
      <c r="G606" s="14"/>
    </row>
    <row r="607" spans="1:7" ht="15">
      <c r="A607" s="29">
        <f t="shared" si="15"/>
        <v>11.05299999999999</v>
      </c>
      <c r="B607" s="47" t="s">
        <v>668</v>
      </c>
      <c r="C607" s="48" t="s">
        <v>11</v>
      </c>
      <c r="D607" s="49">
        <v>5.95</v>
      </c>
      <c r="E607" s="50"/>
      <c r="F607" s="50"/>
      <c r="G607" s="14"/>
    </row>
    <row r="608" spans="1:7" ht="15">
      <c r="A608" s="29">
        <f t="shared" si="15"/>
        <v>11.05399999999999</v>
      </c>
      <c r="B608" s="47" t="s">
        <v>661</v>
      </c>
      <c r="C608" s="48" t="s">
        <v>148</v>
      </c>
      <c r="D608" s="49">
        <v>2</v>
      </c>
      <c r="E608" s="50"/>
      <c r="F608" s="50"/>
      <c r="G608" s="14"/>
    </row>
    <row r="609" spans="1:7" ht="15">
      <c r="A609" s="29"/>
      <c r="B609" s="21" t="s">
        <v>327</v>
      </c>
      <c r="C609" s="48"/>
      <c r="D609" s="49"/>
      <c r="E609" s="50"/>
      <c r="F609" s="50"/>
      <c r="G609" s="14"/>
    </row>
    <row r="610" spans="1:7" ht="15">
      <c r="A610" s="29">
        <v>11.055</v>
      </c>
      <c r="B610" s="47" t="s">
        <v>330</v>
      </c>
      <c r="C610" s="48" t="s">
        <v>13</v>
      </c>
      <c r="D610" s="49">
        <v>1</v>
      </c>
      <c r="E610" s="50"/>
      <c r="F610" s="50"/>
      <c r="G610" s="14"/>
    </row>
    <row r="611" spans="1:7" ht="15">
      <c r="A611" s="29">
        <f t="shared" si="15"/>
        <v>11.056</v>
      </c>
      <c r="B611" s="47" t="s">
        <v>331</v>
      </c>
      <c r="C611" s="48" t="s">
        <v>13</v>
      </c>
      <c r="D611" s="49">
        <v>1</v>
      </c>
      <c r="E611" s="50"/>
      <c r="F611" s="50"/>
      <c r="G611" s="14"/>
    </row>
    <row r="612" spans="1:7" ht="15">
      <c r="A612" s="29">
        <f t="shared" si="15"/>
        <v>11.056999999999999</v>
      </c>
      <c r="B612" s="47" t="s">
        <v>332</v>
      </c>
      <c r="C612" s="48" t="s">
        <v>13</v>
      </c>
      <c r="D612" s="49">
        <v>2</v>
      </c>
      <c r="E612" s="50"/>
      <c r="F612" s="50"/>
      <c r="G612" s="14"/>
    </row>
    <row r="613" spans="1:7" ht="15">
      <c r="A613" s="29">
        <f aca="true" t="shared" si="16" ref="A613:A619">+A612+0.001</f>
        <v>11.057999999999998</v>
      </c>
      <c r="B613" s="47" t="s">
        <v>401</v>
      </c>
      <c r="C613" s="48" t="s">
        <v>13</v>
      </c>
      <c r="D613" s="49">
        <v>2</v>
      </c>
      <c r="E613" s="50"/>
      <c r="F613" s="50"/>
      <c r="G613" s="14"/>
    </row>
    <row r="614" spans="1:7" ht="15">
      <c r="A614" s="29">
        <f t="shared" si="16"/>
        <v>11.058999999999997</v>
      </c>
      <c r="B614" s="47" t="s">
        <v>329</v>
      </c>
      <c r="C614" s="48" t="s">
        <v>13</v>
      </c>
      <c r="D614" s="49">
        <f>SUM(D610:D613)</f>
        <v>6</v>
      </c>
      <c r="E614" s="50"/>
      <c r="F614" s="50"/>
      <c r="G614" s="14"/>
    </row>
    <row r="615" spans="1:7" ht="15">
      <c r="A615" s="29">
        <f t="shared" si="16"/>
        <v>11.059999999999997</v>
      </c>
      <c r="B615" s="47" t="s">
        <v>334</v>
      </c>
      <c r="C615" s="48" t="s">
        <v>159</v>
      </c>
      <c r="D615" s="49">
        <f>42.48*10.76</f>
        <v>457.0848</v>
      </c>
      <c r="E615" s="50"/>
      <c r="F615" s="50"/>
      <c r="G615" s="14"/>
    </row>
    <row r="616" spans="1:7" ht="15">
      <c r="A616" s="29"/>
      <c r="B616" s="21" t="s">
        <v>338</v>
      </c>
      <c r="C616" s="48"/>
      <c r="D616" s="49"/>
      <c r="E616" s="50"/>
      <c r="F616" s="50"/>
      <c r="G616" s="14"/>
    </row>
    <row r="617" spans="1:7" ht="15">
      <c r="A617" s="29">
        <v>11.061</v>
      </c>
      <c r="B617" s="47" t="s">
        <v>336</v>
      </c>
      <c r="C617" s="48" t="s">
        <v>11</v>
      </c>
      <c r="D617" s="49">
        <v>54.6</v>
      </c>
      <c r="E617" s="50"/>
      <c r="F617" s="50"/>
      <c r="G617" s="14"/>
    </row>
    <row r="618" spans="1:7" ht="15">
      <c r="A618" s="29">
        <f t="shared" si="16"/>
        <v>11.062</v>
      </c>
      <c r="B618" s="47" t="s">
        <v>335</v>
      </c>
      <c r="C618" s="48" t="s">
        <v>16</v>
      </c>
      <c r="D618" s="49">
        <f>+D619*0.3</f>
        <v>19.656</v>
      </c>
      <c r="E618" s="50"/>
      <c r="F618" s="50"/>
      <c r="G618" s="14"/>
    </row>
    <row r="619" spans="1:7" ht="15">
      <c r="A619" s="29">
        <f t="shared" si="16"/>
        <v>11.062999999999999</v>
      </c>
      <c r="B619" s="47" t="s">
        <v>337</v>
      </c>
      <c r="C619" s="48" t="s">
        <v>10</v>
      </c>
      <c r="D619" s="49">
        <f>54.6*1.2</f>
        <v>65.52</v>
      </c>
      <c r="E619" s="50"/>
      <c r="F619" s="50"/>
      <c r="G619" s="14"/>
    </row>
    <row r="620" spans="1:7" ht="15">
      <c r="A620" s="29"/>
      <c r="B620" s="21" t="s">
        <v>339</v>
      </c>
      <c r="C620" s="48"/>
      <c r="D620" s="49"/>
      <c r="E620" s="50"/>
      <c r="F620" s="50"/>
      <c r="G620" s="14"/>
    </row>
    <row r="621" spans="1:7" ht="15">
      <c r="A621" s="29">
        <v>11.064</v>
      </c>
      <c r="B621" s="47" t="s">
        <v>342</v>
      </c>
      <c r="C621" s="48" t="s">
        <v>10</v>
      </c>
      <c r="D621" s="49">
        <f>+D573+D567</f>
        <v>447.78039999999993</v>
      </c>
      <c r="E621" s="50"/>
      <c r="F621" s="50"/>
      <c r="G621" s="14"/>
    </row>
    <row r="622" spans="1:7" ht="15">
      <c r="A622" s="29">
        <f>+A621+0.001</f>
        <v>11.065</v>
      </c>
      <c r="B622" s="47" t="s">
        <v>340</v>
      </c>
      <c r="C622" s="48" t="s">
        <v>10</v>
      </c>
      <c r="D622" s="49">
        <f>+((D573+D565)*1.07)*0.6</f>
        <v>265.35914399999996</v>
      </c>
      <c r="E622" s="50"/>
      <c r="F622" s="50"/>
      <c r="G622" s="14"/>
    </row>
    <row r="623" spans="1:7" ht="15">
      <c r="A623" s="29">
        <f>+A622+0.001</f>
        <v>11.065999999999999</v>
      </c>
      <c r="B623" s="47" t="s">
        <v>341</v>
      </c>
      <c r="C623" s="48" t="s">
        <v>10</v>
      </c>
      <c r="D623" s="49">
        <f>+D621-D622</f>
        <v>182.42125599999997</v>
      </c>
      <c r="E623" s="50"/>
      <c r="F623" s="50"/>
      <c r="G623" s="14"/>
    </row>
    <row r="624" spans="1:7" ht="15.75" thickBot="1">
      <c r="A624" s="29"/>
      <c r="B624" s="6"/>
      <c r="C624" s="23"/>
      <c r="D624" s="10"/>
      <c r="E624" s="13"/>
      <c r="F624" s="13"/>
      <c r="G624" s="14"/>
    </row>
    <row r="625" spans="1:7" ht="15.75" thickBot="1">
      <c r="A625" s="29"/>
      <c r="B625" s="6"/>
      <c r="C625" s="23"/>
      <c r="D625" s="10"/>
      <c r="E625" s="71" t="str">
        <f>+B545</f>
        <v>Aula para Muliuso / Salón de Ciencias / Artes Dramatica / Danza / Otros</v>
      </c>
      <c r="F625" s="72"/>
      <c r="G625" s="16">
        <f>SUM(F545:F624)</f>
        <v>0</v>
      </c>
    </row>
    <row r="626" ht="15.75" thickBot="1"/>
    <row r="627" spans="1:7" ht="16.5" thickBot="1">
      <c r="A627" s="28">
        <v>12</v>
      </c>
      <c r="B627" s="61" t="s">
        <v>410</v>
      </c>
      <c r="C627" s="23"/>
      <c r="D627" s="10"/>
      <c r="E627" s="13"/>
      <c r="F627" s="13"/>
      <c r="G627" s="14"/>
    </row>
    <row r="628" spans="1:7" ht="15">
      <c r="A628" s="29"/>
      <c r="B628" s="21"/>
      <c r="C628" s="23"/>
      <c r="D628" s="10"/>
      <c r="E628" s="13"/>
      <c r="F628" s="13"/>
      <c r="G628" s="14"/>
    </row>
    <row r="629" spans="1:7" ht="15">
      <c r="A629" s="29">
        <v>12.001</v>
      </c>
      <c r="B629" s="6" t="s">
        <v>404</v>
      </c>
      <c r="C629" s="23" t="s">
        <v>15</v>
      </c>
      <c r="D629" s="10">
        <f>0.9*0.9*114</f>
        <v>92.34</v>
      </c>
      <c r="E629" s="13"/>
      <c r="F629" s="13"/>
      <c r="G629" s="14"/>
    </row>
    <row r="630" spans="1:7" ht="15">
      <c r="A630" s="29">
        <f aca="true" t="shared" si="17" ref="A630:A643">+A629+0.001</f>
        <v>12.001999999999999</v>
      </c>
      <c r="B630" s="6" t="s">
        <v>405</v>
      </c>
      <c r="C630" s="23" t="s">
        <v>0</v>
      </c>
      <c r="D630" s="10">
        <f>0.9*0.9*0.25*114</f>
        <v>23.085</v>
      </c>
      <c r="E630" s="13"/>
      <c r="F630" s="13"/>
      <c r="G630" s="14"/>
    </row>
    <row r="631" spans="1:7" ht="15">
      <c r="A631" s="29">
        <f t="shared" si="17"/>
        <v>12.002999999999998</v>
      </c>
      <c r="B631" s="6" t="s">
        <v>406</v>
      </c>
      <c r="C631" s="23" t="s">
        <v>0</v>
      </c>
      <c r="D631" s="10">
        <f>0.2*0.2*3.6*114</f>
        <v>16.416000000000004</v>
      </c>
      <c r="E631" s="13"/>
      <c r="F631" s="13"/>
      <c r="G631" s="14"/>
    </row>
    <row r="632" spans="1:7" ht="15">
      <c r="A632" s="29">
        <f t="shared" si="17"/>
        <v>12.003999999999998</v>
      </c>
      <c r="B632" s="6" t="s">
        <v>409</v>
      </c>
      <c r="C632" s="23" t="s">
        <v>11</v>
      </c>
      <c r="D632" s="10">
        <f>158.69*2</f>
        <v>317.38</v>
      </c>
      <c r="E632" s="13"/>
      <c r="F632" s="13"/>
      <c r="G632" s="14"/>
    </row>
    <row r="633" spans="1:7" ht="15">
      <c r="A633" s="29">
        <f t="shared" si="17"/>
        <v>12.004999999999997</v>
      </c>
      <c r="B633" s="6" t="s">
        <v>407</v>
      </c>
      <c r="C633" s="23" t="s">
        <v>0</v>
      </c>
      <c r="D633" s="10">
        <f>159*0.2*0.2*2</f>
        <v>12.72</v>
      </c>
      <c r="E633" s="13"/>
      <c r="F633" s="13"/>
      <c r="G633" s="14"/>
    </row>
    <row r="634" spans="1:7" ht="15">
      <c r="A634" s="29">
        <f t="shared" si="17"/>
        <v>12.005999999999997</v>
      </c>
      <c r="B634" s="6" t="s">
        <v>408</v>
      </c>
      <c r="C634" s="23" t="s">
        <v>0</v>
      </c>
      <c r="D634" s="10">
        <f>58*0.2*0.15*2.7</f>
        <v>4.698000000000001</v>
      </c>
      <c r="E634" s="13"/>
      <c r="F634" s="13"/>
      <c r="G634" s="14"/>
    </row>
    <row r="635" spans="1:7" ht="15">
      <c r="A635" s="29">
        <f t="shared" si="17"/>
        <v>12.006999999999996</v>
      </c>
      <c r="B635" s="6" t="s">
        <v>359</v>
      </c>
      <c r="C635" s="23" t="s">
        <v>11</v>
      </c>
      <c r="D635" s="10">
        <v>185.6</v>
      </c>
      <c r="E635" s="13"/>
      <c r="F635" s="13"/>
      <c r="G635" s="14"/>
    </row>
    <row r="636" spans="1:7" ht="15">
      <c r="A636" s="29">
        <f t="shared" si="17"/>
        <v>12.007999999999996</v>
      </c>
      <c r="B636" s="6" t="s">
        <v>411</v>
      </c>
      <c r="C636" s="23" t="s">
        <v>11</v>
      </c>
      <c r="D636" s="10">
        <v>634.4</v>
      </c>
      <c r="E636" s="13"/>
      <c r="F636" s="13"/>
      <c r="G636" s="14"/>
    </row>
    <row r="637" spans="1:7" ht="18" customHeight="1">
      <c r="A637" s="29">
        <f t="shared" si="17"/>
        <v>12.008999999999995</v>
      </c>
      <c r="B637" s="6" t="s">
        <v>413</v>
      </c>
      <c r="C637" s="23" t="s">
        <v>10</v>
      </c>
      <c r="D637" s="10">
        <f>158.69*3.2</f>
        <v>507.808</v>
      </c>
      <c r="E637" s="13"/>
      <c r="F637" s="13"/>
      <c r="G637" s="14"/>
    </row>
    <row r="638" spans="1:7" ht="15">
      <c r="A638" s="29">
        <f t="shared" si="17"/>
        <v>12.009999999999994</v>
      </c>
      <c r="B638" s="6" t="s">
        <v>325</v>
      </c>
      <c r="C638" s="23" t="s">
        <v>10</v>
      </c>
      <c r="D638" s="10">
        <f>158.69*2.7</f>
        <v>428.463</v>
      </c>
      <c r="E638" s="13"/>
      <c r="F638" s="13"/>
      <c r="G638" s="14"/>
    </row>
    <row r="639" spans="1:7" ht="15">
      <c r="A639" s="29">
        <f t="shared" si="17"/>
        <v>12.010999999999994</v>
      </c>
      <c r="B639" s="6" t="s">
        <v>323</v>
      </c>
      <c r="C639" s="23" t="s">
        <v>11</v>
      </c>
      <c r="D639" s="10">
        <f>+D638*1.413</f>
        <v>605.418219</v>
      </c>
      <c r="E639" s="13"/>
      <c r="F639" s="13"/>
      <c r="G639" s="14"/>
    </row>
    <row r="640" spans="1:7" ht="15">
      <c r="A640" s="29">
        <f t="shared" si="17"/>
        <v>12.011999999999993</v>
      </c>
      <c r="B640" s="6" t="s">
        <v>326</v>
      </c>
      <c r="C640" s="23" t="s">
        <v>10</v>
      </c>
      <c r="D640" s="10">
        <f>+D638</f>
        <v>428.463</v>
      </c>
      <c r="E640" s="13"/>
      <c r="F640" s="13"/>
      <c r="G640" s="14"/>
    </row>
    <row r="641" spans="1:7" ht="15">
      <c r="A641" s="29">
        <f t="shared" si="17"/>
        <v>12.012999999999993</v>
      </c>
      <c r="B641" s="6" t="s">
        <v>412</v>
      </c>
      <c r="C641" s="23" t="s">
        <v>11</v>
      </c>
      <c r="D641" s="10">
        <f>0.7*114</f>
        <v>79.8</v>
      </c>
      <c r="E641" s="13"/>
      <c r="F641" s="13"/>
      <c r="G641" s="14"/>
    </row>
    <row r="642" spans="1:7" ht="15">
      <c r="A642" s="29">
        <f t="shared" si="17"/>
        <v>12.013999999999992</v>
      </c>
      <c r="B642" s="6" t="s">
        <v>342</v>
      </c>
      <c r="C642" s="23" t="s">
        <v>10</v>
      </c>
      <c r="D642" s="10">
        <v>216.88</v>
      </c>
      <c r="E642" s="13"/>
      <c r="F642" s="13"/>
      <c r="G642" s="14"/>
    </row>
    <row r="643" spans="1:7" ht="15">
      <c r="A643" s="29">
        <f t="shared" si="17"/>
        <v>12.014999999999992</v>
      </c>
      <c r="B643" s="6" t="s">
        <v>414</v>
      </c>
      <c r="C643" s="23" t="s">
        <v>10</v>
      </c>
      <c r="D643" s="10">
        <f>+D642</f>
        <v>216.88</v>
      </c>
      <c r="E643" s="13"/>
      <c r="F643" s="13"/>
      <c r="G643" s="14"/>
    </row>
    <row r="644" spans="1:7" ht="15.75" thickBot="1">
      <c r="A644" s="29"/>
      <c r="B644" s="6"/>
      <c r="C644" s="23"/>
      <c r="D644" s="10"/>
      <c r="E644" s="13"/>
      <c r="F644" s="13"/>
      <c r="G644" s="14"/>
    </row>
    <row r="645" spans="1:7" ht="15.75" thickBot="1">
      <c r="A645" s="29"/>
      <c r="B645" s="6"/>
      <c r="C645" s="23"/>
      <c r="D645" s="10"/>
      <c r="E645" s="71" t="str">
        <f>+B627</f>
        <v>Pasarelas de Interconexiones</v>
      </c>
      <c r="F645" s="72"/>
      <c r="G645" s="16">
        <f>SUM(F626:F644)</f>
        <v>0</v>
      </c>
    </row>
    <row r="646" spans="1:7" ht="15.75" thickBot="1">
      <c r="A646" s="29"/>
      <c r="B646" s="6"/>
      <c r="C646" s="23"/>
      <c r="D646" s="10"/>
      <c r="E646" s="43"/>
      <c r="F646" s="43"/>
      <c r="G646" s="30"/>
    </row>
    <row r="647" spans="1:7" ht="16.5" thickBot="1">
      <c r="A647" s="28">
        <v>13</v>
      </c>
      <c r="B647" s="61" t="s">
        <v>699</v>
      </c>
      <c r="C647" s="23"/>
      <c r="D647" s="10"/>
      <c r="E647" s="43"/>
      <c r="F647" s="43"/>
      <c r="G647" s="30"/>
    </row>
    <row r="648" spans="1:7" ht="15">
      <c r="A648" s="28"/>
      <c r="B648" s="30"/>
      <c r="C648" s="23"/>
      <c r="D648" s="10"/>
      <c r="E648" s="43"/>
      <c r="F648" s="43"/>
      <c r="G648" s="30"/>
    </row>
    <row r="649" spans="1:7" ht="15.75">
      <c r="A649" s="30"/>
      <c r="B649" s="55" t="s">
        <v>484</v>
      </c>
      <c r="C649" s="30"/>
      <c r="D649" s="43"/>
      <c r="E649" s="43"/>
      <c r="F649" s="43"/>
      <c r="G649" s="30"/>
    </row>
    <row r="650" spans="1:7" ht="15">
      <c r="A650" s="29">
        <f>+A647+0.001</f>
        <v>13.001</v>
      </c>
      <c r="B650" s="6" t="s">
        <v>488</v>
      </c>
      <c r="C650" s="23" t="s">
        <v>10</v>
      </c>
      <c r="D650" s="10">
        <v>1486</v>
      </c>
      <c r="E650" s="13"/>
      <c r="F650" s="13"/>
      <c r="G650" s="14"/>
    </row>
    <row r="651" spans="1:7" ht="15">
      <c r="A651" s="29"/>
      <c r="B651" s="21" t="s">
        <v>265</v>
      </c>
      <c r="C651" s="23"/>
      <c r="D651" s="10"/>
      <c r="E651" s="13"/>
      <c r="F651" s="13"/>
      <c r="G651" s="14"/>
    </row>
    <row r="652" spans="1:7" ht="15">
      <c r="A652" s="29">
        <v>13.002</v>
      </c>
      <c r="B652" s="6" t="s">
        <v>477</v>
      </c>
      <c r="C652" s="23" t="s">
        <v>15</v>
      </c>
      <c r="D652" s="10">
        <v>118.64</v>
      </c>
      <c r="E652" s="13"/>
      <c r="F652" s="13"/>
      <c r="G652" s="14"/>
    </row>
    <row r="653" spans="1:7" ht="15">
      <c r="A653" s="29"/>
      <c r="B653" s="6" t="s">
        <v>700</v>
      </c>
      <c r="C653" s="23" t="s">
        <v>16</v>
      </c>
      <c r="D653" s="10">
        <v>144.46</v>
      </c>
      <c r="E653" s="13"/>
      <c r="F653" s="13"/>
      <c r="G653" s="14"/>
    </row>
    <row r="654" spans="1:7" ht="15">
      <c r="A654" s="29"/>
      <c r="B654" s="21" t="s">
        <v>271</v>
      </c>
      <c r="C654" s="23"/>
      <c r="D654" s="10"/>
      <c r="E654" s="13"/>
      <c r="F654" s="13"/>
      <c r="G654" s="14"/>
    </row>
    <row r="655" spans="1:7" ht="15">
      <c r="A655" s="29">
        <v>13.003</v>
      </c>
      <c r="B655" s="6" t="s">
        <v>429</v>
      </c>
      <c r="C655" s="23" t="s">
        <v>0</v>
      </c>
      <c r="D655" s="10">
        <v>292.11</v>
      </c>
      <c r="E655" s="13"/>
      <c r="F655" s="13"/>
      <c r="G655" s="14"/>
    </row>
    <row r="656" spans="1:7" ht="15">
      <c r="A656" s="29"/>
      <c r="B656" s="21" t="s">
        <v>388</v>
      </c>
      <c r="C656" s="23"/>
      <c r="D656" s="10"/>
      <c r="E656" s="13"/>
      <c r="F656" s="13"/>
      <c r="G656" s="14"/>
    </row>
    <row r="657" spans="1:7" ht="15">
      <c r="A657" s="29">
        <v>13.004</v>
      </c>
      <c r="B657" s="52" t="s">
        <v>489</v>
      </c>
      <c r="C657" s="30"/>
      <c r="D657" s="43"/>
      <c r="E657" s="43"/>
      <c r="F657" s="43"/>
      <c r="G657" s="30"/>
    </row>
    <row r="658" spans="1:7" ht="15">
      <c r="A658" s="29"/>
      <c r="B658" s="53" t="s">
        <v>479</v>
      </c>
      <c r="C658" s="23" t="s">
        <v>0</v>
      </c>
      <c r="D658" s="43">
        <v>7.962</v>
      </c>
      <c r="E658" s="13"/>
      <c r="F658" s="43"/>
      <c r="G658" s="30"/>
    </row>
    <row r="659" spans="1:7" ht="15">
      <c r="A659" s="29"/>
      <c r="B659" s="54" t="s">
        <v>480</v>
      </c>
      <c r="C659" s="23" t="s">
        <v>0</v>
      </c>
      <c r="D659" s="43">
        <v>6.769</v>
      </c>
      <c r="E659" s="13"/>
      <c r="F659" s="43"/>
      <c r="G659" s="30"/>
    </row>
    <row r="660" spans="1:7" ht="15">
      <c r="A660" s="29"/>
      <c r="B660" s="54" t="s">
        <v>481</v>
      </c>
      <c r="C660" s="23" t="s">
        <v>0</v>
      </c>
      <c r="D660" s="43">
        <v>6.88</v>
      </c>
      <c r="E660" s="13"/>
      <c r="F660" s="43"/>
      <c r="G660" s="30"/>
    </row>
    <row r="661" spans="1:7" ht="15">
      <c r="A661" s="29"/>
      <c r="B661" s="54" t="s">
        <v>689</v>
      </c>
      <c r="C661" s="23" t="s">
        <v>0</v>
      </c>
      <c r="D661" s="43">
        <v>0.56</v>
      </c>
      <c r="E661" s="13"/>
      <c r="F661" s="43"/>
      <c r="G661" s="30"/>
    </row>
    <row r="662" spans="1:7" ht="15">
      <c r="A662" s="29">
        <v>13.005</v>
      </c>
      <c r="B662" s="52" t="s">
        <v>482</v>
      </c>
      <c r="C662" s="30"/>
      <c r="D662" s="43"/>
      <c r="E662" s="43"/>
      <c r="F662" s="43"/>
      <c r="G662" s="30"/>
    </row>
    <row r="663" spans="1:7" ht="15">
      <c r="A663" s="29"/>
      <c r="B663" s="53" t="s">
        <v>479</v>
      </c>
      <c r="C663" s="23" t="s">
        <v>0</v>
      </c>
      <c r="D663" s="43">
        <v>1.243</v>
      </c>
      <c r="E663" s="13"/>
      <c r="F663" s="43"/>
      <c r="G663" s="30"/>
    </row>
    <row r="664" spans="1:7" ht="15">
      <c r="A664" s="29"/>
      <c r="B664" s="54" t="s">
        <v>480</v>
      </c>
      <c r="C664" s="23" t="s">
        <v>0</v>
      </c>
      <c r="D664" s="43">
        <v>2.16</v>
      </c>
      <c r="E664" s="13"/>
      <c r="F664" s="43"/>
      <c r="G664" s="30"/>
    </row>
    <row r="665" spans="1:7" ht="15">
      <c r="A665" s="29"/>
      <c r="B665" s="54" t="s">
        <v>481</v>
      </c>
      <c r="C665" s="23" t="s">
        <v>0</v>
      </c>
      <c r="D665" s="43">
        <v>1.042</v>
      </c>
      <c r="E665" s="13"/>
      <c r="F665" s="43"/>
      <c r="G665" s="30"/>
    </row>
    <row r="666" spans="1:7" ht="15">
      <c r="A666" s="29">
        <v>13.006</v>
      </c>
      <c r="B666" s="52" t="s">
        <v>483</v>
      </c>
      <c r="C666" s="30"/>
      <c r="D666" s="43"/>
      <c r="E666" s="43"/>
      <c r="F666" s="43"/>
      <c r="G666" s="30"/>
    </row>
    <row r="667" spans="1:7" ht="15">
      <c r="A667" s="29"/>
      <c r="B667" s="53" t="s">
        <v>479</v>
      </c>
      <c r="C667" s="23" t="s">
        <v>0</v>
      </c>
      <c r="D667" s="43">
        <v>6.63</v>
      </c>
      <c r="E667" s="13"/>
      <c r="F667" s="43"/>
      <c r="G667" s="30"/>
    </row>
    <row r="668" spans="1:7" ht="15">
      <c r="A668" s="29"/>
      <c r="B668" s="54" t="s">
        <v>480</v>
      </c>
      <c r="C668" s="23" t="s">
        <v>0</v>
      </c>
      <c r="D668" s="43">
        <v>5.555</v>
      </c>
      <c r="E668" s="13"/>
      <c r="F668" s="43"/>
      <c r="G668" s="30"/>
    </row>
    <row r="669" spans="1:7" ht="15">
      <c r="A669" s="29"/>
      <c r="B669" s="54" t="s">
        <v>481</v>
      </c>
      <c r="C669" s="23" t="s">
        <v>0</v>
      </c>
      <c r="D669" s="43">
        <v>5.88</v>
      </c>
      <c r="E669" s="13"/>
      <c r="F669" s="43"/>
      <c r="G669" s="30"/>
    </row>
    <row r="670" spans="1:7" ht="15">
      <c r="A670" s="29">
        <v>13.007</v>
      </c>
      <c r="B670" s="52" t="s">
        <v>485</v>
      </c>
      <c r="C670" s="30"/>
      <c r="D670" s="43"/>
      <c r="E670" s="43"/>
      <c r="F670" s="43"/>
      <c r="G670" s="30"/>
    </row>
    <row r="671" spans="1:7" ht="15">
      <c r="A671" s="29"/>
      <c r="B671" s="53" t="s">
        <v>479</v>
      </c>
      <c r="C671" s="23" t="s">
        <v>0</v>
      </c>
      <c r="D671" s="43">
        <v>0.932</v>
      </c>
      <c r="E671" s="13"/>
      <c r="F671" s="43"/>
      <c r="G671" s="30"/>
    </row>
    <row r="672" spans="1:7" ht="15">
      <c r="A672" s="29"/>
      <c r="B672" s="54" t="s">
        <v>480</v>
      </c>
      <c r="C672" s="23" t="s">
        <v>0</v>
      </c>
      <c r="D672" s="43">
        <v>1.042</v>
      </c>
      <c r="E672" s="13"/>
      <c r="F672" s="43"/>
      <c r="G672" s="30"/>
    </row>
    <row r="673" spans="1:7" ht="15">
      <c r="A673" s="29"/>
      <c r="B673" s="54" t="s">
        <v>486</v>
      </c>
      <c r="C673" s="23" t="s">
        <v>0</v>
      </c>
      <c r="D673" s="43">
        <v>0.174</v>
      </c>
      <c r="E673" s="13"/>
      <c r="F673" s="43"/>
      <c r="G673" s="30"/>
    </row>
    <row r="674" spans="1:7" ht="15">
      <c r="A674" s="29"/>
      <c r="B674" s="54" t="s">
        <v>481</v>
      </c>
      <c r="C674" s="23" t="s">
        <v>0</v>
      </c>
      <c r="D674" s="43">
        <v>1.22</v>
      </c>
      <c r="E674" s="13"/>
      <c r="F674" s="43"/>
      <c r="G674" s="30"/>
    </row>
    <row r="675" spans="1:7" ht="15">
      <c r="A675" s="29">
        <v>13.008</v>
      </c>
      <c r="B675" s="52" t="s">
        <v>487</v>
      </c>
      <c r="C675" s="30"/>
      <c r="D675" s="43"/>
      <c r="E675" s="43"/>
      <c r="F675" s="43"/>
      <c r="G675" s="30"/>
    </row>
    <row r="676" spans="1:7" ht="15">
      <c r="A676" s="29"/>
      <c r="B676" s="53" t="s">
        <v>479</v>
      </c>
      <c r="C676" s="23" t="s">
        <v>0</v>
      </c>
      <c r="D676" s="43">
        <v>0.829</v>
      </c>
      <c r="E676" s="13"/>
      <c r="F676" s="43"/>
      <c r="G676" s="30"/>
    </row>
    <row r="677" spans="1:7" ht="15">
      <c r="A677" s="29"/>
      <c r="B677" s="54" t="s">
        <v>480</v>
      </c>
      <c r="C677" s="23" t="s">
        <v>0</v>
      </c>
      <c r="D677" s="43">
        <v>0.694</v>
      </c>
      <c r="E677" s="13"/>
      <c r="F677" s="43"/>
      <c r="G677" s="30"/>
    </row>
    <row r="678" spans="1:7" ht="15">
      <c r="A678" s="29"/>
      <c r="B678" s="54" t="s">
        <v>481</v>
      </c>
      <c r="C678" s="23" t="s">
        <v>0</v>
      </c>
      <c r="D678" s="43">
        <v>0.72</v>
      </c>
      <c r="E678" s="13"/>
      <c r="F678" s="43"/>
      <c r="G678" s="30"/>
    </row>
    <row r="679" spans="1:7" ht="15">
      <c r="A679" s="29">
        <v>13.009</v>
      </c>
      <c r="B679" s="52" t="s">
        <v>490</v>
      </c>
      <c r="C679" s="30"/>
      <c r="D679" s="43"/>
      <c r="E679" s="43"/>
      <c r="F679" s="43"/>
      <c r="G679" s="30"/>
    </row>
    <row r="680" spans="1:7" ht="15">
      <c r="A680" s="29"/>
      <c r="B680" s="53" t="s">
        <v>479</v>
      </c>
      <c r="C680" s="23" t="s">
        <v>0</v>
      </c>
      <c r="D680" s="43">
        <v>15.333</v>
      </c>
      <c r="E680" s="13"/>
      <c r="F680" s="43"/>
      <c r="G680" s="30"/>
    </row>
    <row r="681" spans="1:7" ht="15">
      <c r="A681" s="29"/>
      <c r="B681" s="54" t="s">
        <v>480</v>
      </c>
      <c r="C681" s="23" t="s">
        <v>0</v>
      </c>
      <c r="D681" s="43">
        <v>12.846</v>
      </c>
      <c r="E681" s="13"/>
      <c r="F681" s="43"/>
      <c r="G681" s="30"/>
    </row>
    <row r="682" spans="1:7" ht="15">
      <c r="A682" s="29"/>
      <c r="B682" s="54" t="s">
        <v>481</v>
      </c>
      <c r="C682" s="23" t="s">
        <v>0</v>
      </c>
      <c r="D682" s="43">
        <v>12.63</v>
      </c>
      <c r="E682" s="13"/>
      <c r="F682" s="43"/>
      <c r="G682" s="30"/>
    </row>
    <row r="683" spans="1:7" ht="15">
      <c r="A683" s="29">
        <v>13.01</v>
      </c>
      <c r="B683" s="52" t="s">
        <v>491</v>
      </c>
      <c r="C683" s="30"/>
      <c r="D683" s="43"/>
      <c r="E683" s="43"/>
      <c r="F683" s="43"/>
      <c r="G683" s="30"/>
    </row>
    <row r="684" spans="1:7" ht="15">
      <c r="A684" s="29"/>
      <c r="B684" s="53" t="s">
        <v>479</v>
      </c>
      <c r="C684" s="23" t="s">
        <v>0</v>
      </c>
      <c r="D684" s="43">
        <v>1.709</v>
      </c>
      <c r="E684" s="13"/>
      <c r="F684" s="43"/>
      <c r="G684" s="30"/>
    </row>
    <row r="685" spans="1:7" ht="15">
      <c r="A685" s="29"/>
      <c r="B685" s="54" t="s">
        <v>480</v>
      </c>
      <c r="C685" s="23" t="s">
        <v>0</v>
      </c>
      <c r="D685" s="43">
        <v>1.432</v>
      </c>
      <c r="E685" s="13"/>
      <c r="F685" s="43"/>
      <c r="G685" s="30"/>
    </row>
    <row r="686" spans="1:7" ht="15">
      <c r="A686" s="29"/>
      <c r="B686" s="54" t="s">
        <v>481</v>
      </c>
      <c r="C686" s="23" t="s">
        <v>0</v>
      </c>
      <c r="D686" s="43">
        <v>1.38</v>
      </c>
      <c r="E686" s="13"/>
      <c r="F686" s="43"/>
      <c r="G686" s="30"/>
    </row>
    <row r="687" spans="1:7" ht="15">
      <c r="A687" s="29">
        <v>13.011</v>
      </c>
      <c r="B687" s="52" t="s">
        <v>492</v>
      </c>
      <c r="C687" s="30"/>
      <c r="D687" s="43"/>
      <c r="E687" s="43"/>
      <c r="F687" s="43"/>
      <c r="G687" s="30"/>
    </row>
    <row r="688" spans="1:7" ht="15">
      <c r="A688" s="29"/>
      <c r="B688" s="53" t="s">
        <v>479</v>
      </c>
      <c r="C688" s="23" t="s">
        <v>0</v>
      </c>
      <c r="D688" s="43">
        <v>7.666</v>
      </c>
      <c r="E688" s="13"/>
      <c r="F688" s="43"/>
      <c r="G688" s="30"/>
    </row>
    <row r="689" spans="1:7" ht="15">
      <c r="A689" s="29"/>
      <c r="B689" s="54" t="s">
        <v>480</v>
      </c>
      <c r="C689" s="23" t="s">
        <v>0</v>
      </c>
      <c r="D689" s="43">
        <v>6.423</v>
      </c>
      <c r="E689" s="13"/>
      <c r="F689" s="43"/>
      <c r="G689" s="30"/>
    </row>
    <row r="690" spans="1:7" ht="15">
      <c r="A690" s="29"/>
      <c r="B690" s="54" t="s">
        <v>481</v>
      </c>
      <c r="C690" s="23" t="s">
        <v>0</v>
      </c>
      <c r="D690" s="43">
        <v>6.423</v>
      </c>
      <c r="E690" s="13"/>
      <c r="F690" s="43"/>
      <c r="G690" s="30"/>
    </row>
    <row r="691" spans="1:7" ht="15">
      <c r="A691" s="29">
        <v>13.012</v>
      </c>
      <c r="B691" s="52" t="s">
        <v>493</v>
      </c>
      <c r="C691" s="30"/>
      <c r="D691" s="43"/>
      <c r="E691" s="43"/>
      <c r="F691" s="43"/>
      <c r="G691" s="30"/>
    </row>
    <row r="692" spans="1:7" ht="15">
      <c r="A692" s="29"/>
      <c r="B692" s="53" t="s">
        <v>479</v>
      </c>
      <c r="C692" s="23" t="s">
        <v>0</v>
      </c>
      <c r="D692" s="43">
        <v>7.252</v>
      </c>
      <c r="E692" s="13"/>
      <c r="F692" s="43"/>
      <c r="G692" s="30"/>
    </row>
    <row r="693" spans="1:7" ht="15">
      <c r="A693" s="29"/>
      <c r="B693" s="54" t="s">
        <v>480</v>
      </c>
      <c r="C693" s="23" t="s">
        <v>0</v>
      </c>
      <c r="D693" s="43">
        <v>6.076</v>
      </c>
      <c r="E693" s="13"/>
      <c r="F693" s="43"/>
      <c r="G693" s="30"/>
    </row>
    <row r="694" spans="1:7" ht="15">
      <c r="A694" s="29"/>
      <c r="B694" s="54" t="s">
        <v>481</v>
      </c>
      <c r="C694" s="23" t="s">
        <v>0</v>
      </c>
      <c r="D694" s="43">
        <v>6.11</v>
      </c>
      <c r="E694" s="13"/>
      <c r="F694" s="43"/>
      <c r="G694" s="30"/>
    </row>
    <row r="695" spans="1:7" ht="15">
      <c r="A695" s="29">
        <v>13.013</v>
      </c>
      <c r="B695" s="52" t="s">
        <v>494</v>
      </c>
      <c r="C695" s="30"/>
      <c r="D695" s="43"/>
      <c r="E695" s="43"/>
      <c r="F695" s="43"/>
      <c r="G695" s="30"/>
    </row>
    <row r="696" spans="1:7" ht="15">
      <c r="A696" s="29"/>
      <c r="B696" s="53" t="s">
        <v>479</v>
      </c>
      <c r="C696" s="23" t="s">
        <v>0</v>
      </c>
      <c r="D696" s="43">
        <v>2.563</v>
      </c>
      <c r="E696" s="13"/>
      <c r="F696" s="43"/>
      <c r="G696" s="30"/>
    </row>
    <row r="697" spans="1:7" ht="15">
      <c r="A697" s="29"/>
      <c r="B697" s="54" t="s">
        <v>480</v>
      </c>
      <c r="C697" s="23" t="s">
        <v>0</v>
      </c>
      <c r="D697" s="43">
        <v>2.179</v>
      </c>
      <c r="E697" s="13"/>
      <c r="F697" s="43"/>
      <c r="G697" s="30"/>
    </row>
    <row r="698" spans="1:7" ht="15">
      <c r="A698" s="29"/>
      <c r="B698" s="54" t="s">
        <v>481</v>
      </c>
      <c r="C698" s="23" t="s">
        <v>0</v>
      </c>
      <c r="D698" s="43">
        <v>2.28</v>
      </c>
      <c r="E698" s="13"/>
      <c r="F698" s="43"/>
      <c r="G698" s="30"/>
    </row>
    <row r="699" spans="1:7" ht="15">
      <c r="A699" s="29"/>
      <c r="B699" s="54" t="s">
        <v>689</v>
      </c>
      <c r="C699" s="23" t="s">
        <v>0</v>
      </c>
      <c r="D699" s="43">
        <v>0.726</v>
      </c>
      <c r="E699" s="13"/>
      <c r="F699" s="43"/>
      <c r="G699" s="30"/>
    </row>
    <row r="700" spans="1:7" ht="15">
      <c r="A700" s="29">
        <v>13.014</v>
      </c>
      <c r="B700" s="52" t="s">
        <v>495</v>
      </c>
      <c r="C700" s="30"/>
      <c r="D700" s="43"/>
      <c r="E700" s="43"/>
      <c r="F700" s="43"/>
      <c r="G700" s="30"/>
    </row>
    <row r="701" spans="1:7" ht="15">
      <c r="A701" s="29"/>
      <c r="B701" s="53" t="s">
        <v>479</v>
      </c>
      <c r="C701" s="23" t="s">
        <v>0</v>
      </c>
      <c r="D701" s="43">
        <v>3.364</v>
      </c>
      <c r="E701" s="13"/>
      <c r="F701" s="43"/>
      <c r="G701" s="30"/>
    </row>
    <row r="702" spans="1:7" ht="15">
      <c r="A702" s="29"/>
      <c r="B702" s="54" t="s">
        <v>480</v>
      </c>
      <c r="C702" s="23" t="s">
        <v>0</v>
      </c>
      <c r="D702" s="43">
        <v>2.86</v>
      </c>
      <c r="E702" s="13"/>
      <c r="F702" s="43"/>
      <c r="G702" s="30"/>
    </row>
    <row r="703" spans="1:7" ht="15">
      <c r="A703" s="29"/>
      <c r="B703" s="54" t="s">
        <v>481</v>
      </c>
      <c r="C703" s="23" t="s">
        <v>0</v>
      </c>
      <c r="D703" s="43">
        <v>0.953</v>
      </c>
      <c r="E703" s="13"/>
      <c r="F703" s="43"/>
      <c r="G703" s="30"/>
    </row>
    <row r="704" spans="1:7" ht="15">
      <c r="A704" s="29"/>
      <c r="B704" s="54" t="s">
        <v>689</v>
      </c>
      <c r="C704" s="23" t="s">
        <v>0</v>
      </c>
      <c r="D704" s="43">
        <v>0.953</v>
      </c>
      <c r="E704" s="13"/>
      <c r="F704" s="43"/>
      <c r="G704" s="30"/>
    </row>
    <row r="705" spans="1:7" ht="15">
      <c r="A705" s="29">
        <v>13.015</v>
      </c>
      <c r="B705" s="52" t="s">
        <v>496</v>
      </c>
      <c r="C705" s="30"/>
      <c r="D705" s="43"/>
      <c r="E705" s="43"/>
      <c r="F705" s="43"/>
      <c r="G705" s="30"/>
    </row>
    <row r="706" spans="1:7" ht="15">
      <c r="A706" s="29"/>
      <c r="B706" s="57" t="s">
        <v>525</v>
      </c>
      <c r="C706" s="30"/>
      <c r="D706" s="43"/>
      <c r="E706" s="43"/>
      <c r="F706" s="43"/>
      <c r="G706" s="30"/>
    </row>
    <row r="707" spans="1:7" ht="15">
      <c r="A707" s="29"/>
      <c r="B707" s="54" t="s">
        <v>701</v>
      </c>
      <c r="C707" s="23" t="s">
        <v>0</v>
      </c>
      <c r="D707" s="43">
        <f>11.01</f>
        <v>11.01</v>
      </c>
      <c r="E707" s="13"/>
      <c r="F707" s="43"/>
      <c r="G707" s="30"/>
    </row>
    <row r="708" spans="1:7" ht="15">
      <c r="A708" s="30"/>
      <c r="B708" s="56" t="s">
        <v>526</v>
      </c>
      <c r="C708" s="30"/>
      <c r="D708" s="43"/>
      <c r="E708" s="13"/>
      <c r="F708" s="43"/>
      <c r="G708" s="30"/>
    </row>
    <row r="709" spans="1:7" ht="15">
      <c r="A709" s="30"/>
      <c r="B709" s="54" t="s">
        <v>701</v>
      </c>
      <c r="C709" s="23" t="s">
        <v>0</v>
      </c>
      <c r="D709" s="43">
        <v>11.01</v>
      </c>
      <c r="E709" s="13"/>
      <c r="F709" s="43"/>
      <c r="G709" s="30"/>
    </row>
    <row r="710" spans="1:7" ht="15">
      <c r="A710" s="30"/>
      <c r="B710" s="56" t="s">
        <v>690</v>
      </c>
      <c r="C710" s="30"/>
      <c r="D710" s="43"/>
      <c r="E710" s="13"/>
      <c r="F710" s="43"/>
      <c r="G710" s="30"/>
    </row>
    <row r="711" spans="1:7" ht="15">
      <c r="A711" s="30"/>
      <c r="B711" s="54" t="s">
        <v>701</v>
      </c>
      <c r="C711" s="23" t="s">
        <v>0</v>
      </c>
      <c r="D711" s="43">
        <v>11.01</v>
      </c>
      <c r="E711" s="13"/>
      <c r="F711" s="43"/>
      <c r="G711" s="30"/>
    </row>
    <row r="712" spans="1:7" ht="15">
      <c r="A712" s="30"/>
      <c r="B712" s="57" t="s">
        <v>527</v>
      </c>
      <c r="C712" s="30"/>
      <c r="D712" s="43"/>
      <c r="E712" s="43"/>
      <c r="F712" s="43"/>
      <c r="G712" s="30"/>
    </row>
    <row r="713" spans="1:7" ht="15">
      <c r="A713" s="30"/>
      <c r="B713" s="54" t="s">
        <v>701</v>
      </c>
      <c r="C713" s="23" t="s">
        <v>0</v>
      </c>
      <c r="D713" s="43">
        <f>11.01</f>
        <v>11.01</v>
      </c>
      <c r="E713" s="13"/>
      <c r="F713" s="43"/>
      <c r="G713" s="30"/>
    </row>
    <row r="714" spans="1:7" ht="15">
      <c r="A714" s="30"/>
      <c r="B714" s="56" t="s">
        <v>528</v>
      </c>
      <c r="C714" s="30"/>
      <c r="D714" s="43"/>
      <c r="E714" s="13"/>
      <c r="F714" s="43"/>
      <c r="G714" s="30"/>
    </row>
    <row r="715" spans="1:7" ht="15">
      <c r="A715" s="30"/>
      <c r="B715" s="54" t="s">
        <v>701</v>
      </c>
      <c r="C715" s="23" t="s">
        <v>0</v>
      </c>
      <c r="D715" s="43">
        <v>11.01</v>
      </c>
      <c r="E715" s="13"/>
      <c r="F715" s="43"/>
      <c r="G715" s="30"/>
    </row>
    <row r="716" spans="1:7" ht="15">
      <c r="A716" s="30"/>
      <c r="B716" s="56" t="s">
        <v>702</v>
      </c>
      <c r="C716" s="30"/>
      <c r="D716" s="43"/>
      <c r="E716" s="13"/>
      <c r="F716" s="43"/>
      <c r="G716" s="30"/>
    </row>
    <row r="717" spans="1:7" ht="15">
      <c r="A717" s="30"/>
      <c r="B717" s="54" t="s">
        <v>701</v>
      </c>
      <c r="C717" s="23" t="s">
        <v>0</v>
      </c>
      <c r="D717" s="43">
        <v>11.01</v>
      </c>
      <c r="E717" s="13"/>
      <c r="F717" s="43"/>
      <c r="G717" s="30"/>
    </row>
    <row r="718" spans="1:7" ht="15">
      <c r="A718" s="30"/>
      <c r="B718" s="52" t="s">
        <v>703</v>
      </c>
      <c r="C718" s="23"/>
      <c r="D718" s="43"/>
      <c r="E718" s="13"/>
      <c r="F718" s="43"/>
      <c r="G718" s="30"/>
    </row>
    <row r="719" spans="1:7" ht="15">
      <c r="A719" s="30"/>
      <c r="B719" s="57" t="s">
        <v>525</v>
      </c>
      <c r="C719" s="30"/>
      <c r="D719" s="43"/>
      <c r="E719" s="13"/>
      <c r="F719" s="43"/>
      <c r="G719" s="30"/>
    </row>
    <row r="720" spans="1:7" ht="15">
      <c r="A720" s="30"/>
      <c r="B720" s="54" t="s">
        <v>704</v>
      </c>
      <c r="C720" s="23" t="s">
        <v>0</v>
      </c>
      <c r="D720" s="43">
        <v>7.416</v>
      </c>
      <c r="E720" s="13"/>
      <c r="F720" s="43"/>
      <c r="G720" s="30"/>
    </row>
    <row r="721" spans="1:7" ht="15">
      <c r="A721" s="30"/>
      <c r="B721" s="56" t="s">
        <v>526</v>
      </c>
      <c r="C721" s="30"/>
      <c r="D721" s="43"/>
      <c r="E721" s="13"/>
      <c r="F721" s="43"/>
      <c r="G721" s="30"/>
    </row>
    <row r="722" spans="1:7" ht="15">
      <c r="A722" s="30"/>
      <c r="B722" s="54" t="s">
        <v>701</v>
      </c>
      <c r="C722" s="23" t="s">
        <v>0</v>
      </c>
      <c r="D722" s="43">
        <v>7.42</v>
      </c>
      <c r="E722" s="13"/>
      <c r="F722" s="43"/>
      <c r="G722" s="30"/>
    </row>
    <row r="723" spans="1:7" ht="15">
      <c r="A723" s="30"/>
      <c r="B723" s="57" t="s">
        <v>527</v>
      </c>
      <c r="C723" s="30"/>
      <c r="D723" s="43"/>
      <c r="E723" s="43"/>
      <c r="F723" s="43"/>
      <c r="G723" s="30"/>
    </row>
    <row r="724" spans="1:7" ht="15">
      <c r="A724" s="30"/>
      <c r="B724" s="54" t="s">
        <v>705</v>
      </c>
      <c r="C724" s="23" t="s">
        <v>0</v>
      </c>
      <c r="D724" s="43">
        <f>5.77+8.19+9.9</f>
        <v>23.86</v>
      </c>
      <c r="E724" s="13"/>
      <c r="F724" s="43"/>
      <c r="G724" s="30"/>
    </row>
    <row r="725" spans="1:7" ht="15">
      <c r="A725" s="30"/>
      <c r="B725" s="56" t="s">
        <v>528</v>
      </c>
      <c r="C725" s="30"/>
      <c r="D725" s="43"/>
      <c r="E725" s="13"/>
      <c r="F725" s="43"/>
      <c r="G725" s="30"/>
    </row>
    <row r="726" spans="1:7" ht="15">
      <c r="A726" s="30"/>
      <c r="B726" s="54" t="s">
        <v>705</v>
      </c>
      <c r="C726" s="23" t="s">
        <v>0</v>
      </c>
      <c r="D726" s="43">
        <f>5.77+8.19+9.9</f>
        <v>23.86</v>
      </c>
      <c r="E726" s="13"/>
      <c r="F726" s="43"/>
      <c r="G726" s="30"/>
    </row>
    <row r="727" spans="1:7" ht="15">
      <c r="A727" s="30"/>
      <c r="B727" s="56" t="s">
        <v>702</v>
      </c>
      <c r="C727" s="30"/>
      <c r="D727" s="43"/>
      <c r="E727" s="13"/>
      <c r="F727" s="43"/>
      <c r="G727" s="30"/>
    </row>
    <row r="728" spans="1:7" ht="15">
      <c r="A728" s="30"/>
      <c r="B728" s="54" t="s">
        <v>706</v>
      </c>
      <c r="C728" s="23" t="s">
        <v>0</v>
      </c>
      <c r="D728" s="43">
        <f>5.9+1.14</f>
        <v>7.04</v>
      </c>
      <c r="E728" s="13"/>
      <c r="F728" s="43"/>
      <c r="G728" s="30"/>
    </row>
    <row r="729" spans="1:7" ht="15">
      <c r="A729" s="30"/>
      <c r="B729" s="52" t="s">
        <v>707</v>
      </c>
      <c r="C729" s="23"/>
      <c r="D729" s="43"/>
      <c r="E729" s="13"/>
      <c r="F729" s="43"/>
      <c r="G729" s="30"/>
    </row>
    <row r="730" spans="1:7" ht="15">
      <c r="A730" s="30"/>
      <c r="B730" s="54" t="s">
        <v>708</v>
      </c>
      <c r="C730" s="23" t="s">
        <v>0</v>
      </c>
      <c r="D730" s="43">
        <f>4*6.15*0.2*0.6</f>
        <v>2.9520000000000004</v>
      </c>
      <c r="E730" s="13"/>
      <c r="F730" s="43"/>
      <c r="G730" s="30"/>
    </row>
    <row r="731" spans="1:7" ht="15">
      <c r="A731" s="30"/>
      <c r="B731" s="54" t="s">
        <v>709</v>
      </c>
      <c r="C731" s="23" t="s">
        <v>0</v>
      </c>
      <c r="D731" s="43">
        <f>6*6.15*0.6*0.2</f>
        <v>4.428000000000001</v>
      </c>
      <c r="E731" s="13"/>
      <c r="F731" s="43"/>
      <c r="G731" s="30"/>
    </row>
    <row r="732" spans="1:7" ht="15">
      <c r="A732" s="30"/>
      <c r="B732" s="56" t="s">
        <v>523</v>
      </c>
      <c r="C732" s="30"/>
      <c r="D732" s="43"/>
      <c r="E732" s="13"/>
      <c r="F732" s="43"/>
      <c r="G732" s="30"/>
    </row>
    <row r="733" spans="1:7" ht="15">
      <c r="A733" s="30"/>
      <c r="B733" s="54" t="s">
        <v>478</v>
      </c>
      <c r="C733" s="23" t="s">
        <v>0</v>
      </c>
      <c r="D733" s="43">
        <v>1.08</v>
      </c>
      <c r="E733" s="13"/>
      <c r="F733" s="43"/>
      <c r="G733" s="30"/>
    </row>
    <row r="734" spans="1:7" ht="15">
      <c r="A734" s="30"/>
      <c r="B734" s="54" t="s">
        <v>505</v>
      </c>
      <c r="C734" s="23" t="s">
        <v>0</v>
      </c>
      <c r="D734" s="43">
        <v>1.032</v>
      </c>
      <c r="E734" s="13"/>
      <c r="F734" s="43"/>
      <c r="G734" s="30"/>
    </row>
    <row r="735" spans="1:7" ht="15">
      <c r="A735" s="30"/>
      <c r="B735" s="56" t="s">
        <v>524</v>
      </c>
      <c r="C735" s="30"/>
      <c r="D735" s="43"/>
      <c r="E735" s="13"/>
      <c r="F735" s="43"/>
      <c r="G735" s="30"/>
    </row>
    <row r="736" spans="1:7" ht="15">
      <c r="A736" s="30"/>
      <c r="B736" s="54" t="s">
        <v>478</v>
      </c>
      <c r="C736" s="23" t="s">
        <v>0</v>
      </c>
      <c r="D736" s="43">
        <v>1.08</v>
      </c>
      <c r="E736" s="13"/>
      <c r="F736" s="43"/>
      <c r="G736" s="30"/>
    </row>
    <row r="737" spans="1:7" ht="15">
      <c r="A737" s="30"/>
      <c r="B737" s="54" t="s">
        <v>505</v>
      </c>
      <c r="C737" s="23" t="s">
        <v>0</v>
      </c>
      <c r="D737" s="43">
        <v>1.032</v>
      </c>
      <c r="E737" s="13"/>
      <c r="F737" s="43"/>
      <c r="G737" s="30"/>
    </row>
    <row r="738" spans="1:7" ht="15">
      <c r="A738" s="30"/>
      <c r="B738" s="56" t="s">
        <v>692</v>
      </c>
      <c r="C738" s="30"/>
      <c r="D738" s="43"/>
      <c r="E738" s="13"/>
      <c r="F738" s="43"/>
      <c r="G738" s="30"/>
    </row>
    <row r="739" spans="1:7" ht="15">
      <c r="A739" s="30"/>
      <c r="B739" s="54" t="s">
        <v>478</v>
      </c>
      <c r="C739" s="23" t="s">
        <v>0</v>
      </c>
      <c r="D739" s="43">
        <v>1.08</v>
      </c>
      <c r="E739" s="13"/>
      <c r="F739" s="43"/>
      <c r="G739" s="30"/>
    </row>
    <row r="740" spans="1:7" ht="15">
      <c r="A740" s="30"/>
      <c r="B740" s="54" t="s">
        <v>505</v>
      </c>
      <c r="C740" s="23" t="s">
        <v>0</v>
      </c>
      <c r="D740" s="43">
        <v>1.032</v>
      </c>
      <c r="E740" s="13"/>
      <c r="F740" s="43"/>
      <c r="G740" s="30"/>
    </row>
    <row r="741" spans="1:7" ht="15">
      <c r="A741" s="30"/>
      <c r="B741" s="56" t="s">
        <v>529</v>
      </c>
      <c r="C741" s="30"/>
      <c r="D741" s="43"/>
      <c r="E741" s="13"/>
      <c r="F741" s="43"/>
      <c r="G741" s="30"/>
    </row>
    <row r="742" spans="1:7" ht="15">
      <c r="A742" s="30"/>
      <c r="B742" s="54" t="s">
        <v>506</v>
      </c>
      <c r="C742" s="23" t="s">
        <v>0</v>
      </c>
      <c r="D742" s="43">
        <v>2.16</v>
      </c>
      <c r="E742" s="13"/>
      <c r="F742" s="43"/>
      <c r="G742" s="30"/>
    </row>
    <row r="743" spans="1:7" ht="15">
      <c r="A743" s="30"/>
      <c r="B743" s="54" t="s">
        <v>507</v>
      </c>
      <c r="C743" s="23" t="s">
        <v>0</v>
      </c>
      <c r="D743" s="43">
        <v>1.956</v>
      </c>
      <c r="E743" s="13"/>
      <c r="F743" s="43"/>
      <c r="G743" s="30"/>
    </row>
    <row r="744" spans="1:7" ht="15">
      <c r="A744" s="30"/>
      <c r="B744" s="56" t="s">
        <v>530</v>
      </c>
      <c r="C744" s="30"/>
      <c r="D744" s="43"/>
      <c r="E744" s="13"/>
      <c r="F744" s="43"/>
      <c r="G744" s="30"/>
    </row>
    <row r="745" spans="1:7" ht="15">
      <c r="A745" s="30"/>
      <c r="B745" s="54" t="s">
        <v>506</v>
      </c>
      <c r="C745" s="23" t="s">
        <v>0</v>
      </c>
      <c r="D745" s="43">
        <v>2.16</v>
      </c>
      <c r="E745" s="13"/>
      <c r="F745" s="43"/>
      <c r="G745" s="30"/>
    </row>
    <row r="746" spans="1:7" ht="15">
      <c r="A746" s="30"/>
      <c r="B746" s="54" t="s">
        <v>507</v>
      </c>
      <c r="C746" s="23" t="s">
        <v>0</v>
      </c>
      <c r="D746" s="43">
        <v>1.956</v>
      </c>
      <c r="E746" s="13"/>
      <c r="F746" s="43"/>
      <c r="G746" s="30"/>
    </row>
    <row r="747" spans="1:7" ht="15">
      <c r="A747" s="30"/>
      <c r="B747" s="56" t="s">
        <v>531</v>
      </c>
      <c r="C747" s="30"/>
      <c r="D747" s="43"/>
      <c r="E747" s="13"/>
      <c r="F747" s="43"/>
      <c r="G747" s="30"/>
    </row>
    <row r="748" spans="1:7" ht="15">
      <c r="A748" s="30"/>
      <c r="B748" s="54" t="s">
        <v>508</v>
      </c>
      <c r="C748" s="23" t="s">
        <v>0</v>
      </c>
      <c r="D748" s="43">
        <v>2.16</v>
      </c>
      <c r="E748" s="13"/>
      <c r="F748" s="43"/>
      <c r="G748" s="30"/>
    </row>
    <row r="749" spans="1:7" ht="15">
      <c r="A749" s="30"/>
      <c r="B749" s="54" t="s">
        <v>507</v>
      </c>
      <c r="C749" s="23" t="s">
        <v>0</v>
      </c>
      <c r="D749" s="43">
        <v>1.96</v>
      </c>
      <c r="E749" s="13"/>
      <c r="F749" s="43"/>
      <c r="G749" s="30"/>
    </row>
    <row r="750" spans="1:7" ht="15">
      <c r="A750" s="30"/>
      <c r="B750" s="56" t="s">
        <v>693</v>
      </c>
      <c r="C750" s="30"/>
      <c r="D750" s="43"/>
      <c r="E750" s="13"/>
      <c r="F750" s="43"/>
      <c r="G750" s="30"/>
    </row>
    <row r="751" spans="1:7" ht="15">
      <c r="A751" s="30"/>
      <c r="B751" s="54" t="s">
        <v>508</v>
      </c>
      <c r="C751" s="23" t="s">
        <v>0</v>
      </c>
      <c r="D751" s="43">
        <v>1.08</v>
      </c>
      <c r="E751" s="13"/>
      <c r="F751" s="43"/>
      <c r="G751" s="30"/>
    </row>
    <row r="752" spans="1:7" ht="15">
      <c r="A752" s="30"/>
      <c r="B752" s="54" t="s">
        <v>507</v>
      </c>
      <c r="C752" s="23" t="s">
        <v>0</v>
      </c>
      <c r="D752" s="43">
        <v>0.516</v>
      </c>
      <c r="E752" s="13"/>
      <c r="F752" s="43"/>
      <c r="G752" s="30"/>
    </row>
    <row r="753" spans="1:7" ht="15">
      <c r="A753" s="29">
        <v>13.016</v>
      </c>
      <c r="B753" s="52" t="s">
        <v>710</v>
      </c>
      <c r="C753" s="30"/>
      <c r="D753" s="43"/>
      <c r="E753" s="13"/>
      <c r="F753" s="43"/>
      <c r="G753" s="30"/>
    </row>
    <row r="754" spans="1:7" ht="15">
      <c r="A754" s="30"/>
      <c r="B754" s="57" t="s">
        <v>694</v>
      </c>
      <c r="C754" s="23"/>
      <c r="D754" s="43"/>
      <c r="E754" s="43"/>
      <c r="F754" s="43"/>
      <c r="G754" s="30"/>
    </row>
    <row r="755" spans="1:7" ht="15">
      <c r="A755" s="30"/>
      <c r="B755" s="54" t="s">
        <v>711</v>
      </c>
      <c r="C755" s="23" t="s">
        <v>0</v>
      </c>
      <c r="D755" s="43">
        <f>3.77+1.7</f>
        <v>5.47</v>
      </c>
      <c r="E755" s="13"/>
      <c r="F755" s="43"/>
      <c r="G755" s="30"/>
    </row>
    <row r="756" spans="1:7" ht="15">
      <c r="A756" s="30"/>
      <c r="B756" s="54" t="s">
        <v>712</v>
      </c>
      <c r="C756" s="23" t="s">
        <v>0</v>
      </c>
      <c r="D756" s="43">
        <f>15.9*0.2*1.2+(2*8.1*0.2*1.2)</f>
        <v>7.704</v>
      </c>
      <c r="E756" s="13"/>
      <c r="F756" s="43"/>
      <c r="G756" s="30"/>
    </row>
    <row r="757" spans="1:7" ht="15">
      <c r="A757" s="30"/>
      <c r="B757" s="54" t="s">
        <v>713</v>
      </c>
      <c r="C757" s="23" t="s">
        <v>0</v>
      </c>
      <c r="D757" s="43">
        <f>7.5+5.78</f>
        <v>13.280000000000001</v>
      </c>
      <c r="E757" s="13"/>
      <c r="F757" s="43"/>
      <c r="G757" s="30"/>
    </row>
    <row r="758" spans="1:7" ht="15">
      <c r="A758" s="30"/>
      <c r="B758" s="56" t="s">
        <v>691</v>
      </c>
      <c r="C758" s="23"/>
      <c r="D758" s="43"/>
      <c r="E758" s="13"/>
      <c r="F758" s="43"/>
      <c r="G758" s="30"/>
    </row>
    <row r="759" spans="1:7" ht="15">
      <c r="A759" s="30"/>
      <c r="B759" s="54" t="s">
        <v>714</v>
      </c>
      <c r="C759" s="23" t="s">
        <v>0</v>
      </c>
      <c r="D759" s="43">
        <v>7.79</v>
      </c>
      <c r="E759" s="13"/>
      <c r="F759" s="43"/>
      <c r="G759" s="30"/>
    </row>
    <row r="760" spans="1:7" ht="15">
      <c r="A760" s="30"/>
      <c r="B760" s="54" t="s">
        <v>715</v>
      </c>
      <c r="C760" s="23" t="s">
        <v>0</v>
      </c>
      <c r="D760" s="43">
        <v>11.71</v>
      </c>
      <c r="E760" s="13"/>
      <c r="F760" s="43"/>
      <c r="G760" s="30"/>
    </row>
    <row r="761" spans="1:7" ht="15">
      <c r="A761" s="30"/>
      <c r="B761" s="54" t="s">
        <v>716</v>
      </c>
      <c r="C761" s="23" t="s">
        <v>0</v>
      </c>
      <c r="D761" s="43">
        <f>3.77+1.7</f>
        <v>5.47</v>
      </c>
      <c r="E761" s="13"/>
      <c r="F761" s="43"/>
      <c r="G761" s="30"/>
    </row>
    <row r="762" spans="1:7" ht="15">
      <c r="A762" s="29">
        <v>13.017</v>
      </c>
      <c r="B762" s="52" t="s">
        <v>518</v>
      </c>
      <c r="C762" s="23"/>
      <c r="D762" s="43"/>
      <c r="E762" s="13"/>
      <c r="F762" s="43"/>
      <c r="G762" s="30"/>
    </row>
    <row r="763" spans="1:7" ht="15">
      <c r="A763" s="30"/>
      <c r="B763" s="57" t="s">
        <v>523</v>
      </c>
      <c r="C763" s="30"/>
      <c r="D763" s="43"/>
      <c r="E763" s="43"/>
      <c r="F763" s="43"/>
      <c r="G763" s="30"/>
    </row>
    <row r="764" spans="1:7" ht="15">
      <c r="A764" s="30"/>
      <c r="B764" s="54" t="s">
        <v>478</v>
      </c>
      <c r="C764" s="23" t="s">
        <v>0</v>
      </c>
      <c r="D764" s="43">
        <v>0.72</v>
      </c>
      <c r="E764" s="13"/>
      <c r="F764" s="43"/>
      <c r="G764" s="30"/>
    </row>
    <row r="765" spans="1:7" ht="15">
      <c r="A765" s="30"/>
      <c r="B765" s="54" t="s">
        <v>433</v>
      </c>
      <c r="C765" s="23" t="s">
        <v>0</v>
      </c>
      <c r="D765" s="43">
        <v>1.68</v>
      </c>
      <c r="E765" s="13"/>
      <c r="F765" s="43"/>
      <c r="G765" s="30"/>
    </row>
    <row r="766" spans="1:7" ht="15">
      <c r="A766" s="30"/>
      <c r="B766" s="54" t="s">
        <v>434</v>
      </c>
      <c r="C766" s="23" t="s">
        <v>0</v>
      </c>
      <c r="D766" s="43">
        <v>1.376</v>
      </c>
      <c r="E766" s="13"/>
      <c r="F766" s="43"/>
      <c r="G766" s="30"/>
    </row>
    <row r="767" spans="1:7" ht="15">
      <c r="A767" s="30"/>
      <c r="B767" s="56" t="s">
        <v>524</v>
      </c>
      <c r="C767" s="23"/>
      <c r="D767" s="43"/>
      <c r="E767" s="13"/>
      <c r="F767" s="43"/>
      <c r="G767" s="30"/>
    </row>
    <row r="768" spans="1:7" ht="15">
      <c r="A768" s="30"/>
      <c r="B768" s="54" t="s">
        <v>478</v>
      </c>
      <c r="C768" s="23" t="s">
        <v>0</v>
      </c>
      <c r="D768" s="43">
        <v>0.72</v>
      </c>
      <c r="E768" s="13"/>
      <c r="F768" s="43"/>
      <c r="G768" s="30"/>
    </row>
    <row r="769" spans="1:7" ht="15">
      <c r="A769" s="30"/>
      <c r="B769" s="54" t="s">
        <v>433</v>
      </c>
      <c r="C769" s="23" t="s">
        <v>0</v>
      </c>
      <c r="D769" s="43">
        <v>1.68</v>
      </c>
      <c r="E769" s="13"/>
      <c r="F769" s="43"/>
      <c r="G769" s="30"/>
    </row>
    <row r="770" spans="1:7" ht="15">
      <c r="A770" s="30"/>
      <c r="B770" s="54" t="s">
        <v>434</v>
      </c>
      <c r="C770" s="23" t="s">
        <v>0</v>
      </c>
      <c r="D770" s="43">
        <v>0.688</v>
      </c>
      <c r="E770" s="13"/>
      <c r="F770" s="43"/>
      <c r="G770" s="30"/>
    </row>
    <row r="771" spans="1:7" ht="15">
      <c r="A771" s="30"/>
      <c r="B771" s="56" t="s">
        <v>695</v>
      </c>
      <c r="C771" s="23"/>
      <c r="D771" s="43"/>
      <c r="E771" s="13"/>
      <c r="F771" s="43"/>
      <c r="G771" s="30"/>
    </row>
    <row r="772" spans="1:7" ht="15">
      <c r="A772" s="30"/>
      <c r="B772" s="54" t="s">
        <v>478</v>
      </c>
      <c r="C772" s="23" t="s">
        <v>0</v>
      </c>
      <c r="D772" s="43">
        <v>0.72</v>
      </c>
      <c r="E772" s="13"/>
      <c r="F772" s="43"/>
      <c r="G772" s="30"/>
    </row>
    <row r="773" spans="1:7" ht="15">
      <c r="A773" s="30"/>
      <c r="B773" s="54" t="s">
        <v>433</v>
      </c>
      <c r="C773" s="23" t="s">
        <v>0</v>
      </c>
      <c r="D773" s="43">
        <v>1.68</v>
      </c>
      <c r="E773" s="13"/>
      <c r="F773" s="43"/>
      <c r="G773" s="30"/>
    </row>
    <row r="774" spans="1:7" ht="15">
      <c r="A774" s="30"/>
      <c r="B774" s="54" t="s">
        <v>434</v>
      </c>
      <c r="C774" s="23" t="s">
        <v>0</v>
      </c>
      <c r="D774" s="43">
        <v>0.688</v>
      </c>
      <c r="E774" s="13"/>
      <c r="F774" s="43"/>
      <c r="G774" s="30"/>
    </row>
    <row r="775" spans="1:7" ht="15">
      <c r="A775" s="30"/>
      <c r="B775" s="56" t="s">
        <v>521</v>
      </c>
      <c r="C775" s="23"/>
      <c r="D775" s="43"/>
      <c r="E775" s="13"/>
      <c r="F775" s="43"/>
      <c r="G775" s="30"/>
    </row>
    <row r="776" spans="1:7" ht="15">
      <c r="A776" s="30"/>
      <c r="B776" s="54" t="s">
        <v>434</v>
      </c>
      <c r="C776" s="23" t="s">
        <v>0</v>
      </c>
      <c r="D776" s="43">
        <v>0.688</v>
      </c>
      <c r="E776" s="13"/>
      <c r="F776" s="43"/>
      <c r="G776" s="30"/>
    </row>
    <row r="777" spans="1:7" ht="15">
      <c r="A777" s="30"/>
      <c r="B777" s="54" t="s">
        <v>519</v>
      </c>
      <c r="C777" s="23" t="s">
        <v>0</v>
      </c>
      <c r="D777" s="43">
        <v>0.84</v>
      </c>
      <c r="E777" s="13"/>
      <c r="F777" s="43"/>
      <c r="G777" s="30"/>
    </row>
    <row r="778" spans="1:7" ht="15">
      <c r="A778" s="30"/>
      <c r="B778" s="56" t="s">
        <v>522</v>
      </c>
      <c r="C778" s="23"/>
      <c r="D778" s="43"/>
      <c r="E778" s="13"/>
      <c r="F778" s="43"/>
      <c r="G778" s="30"/>
    </row>
    <row r="779" spans="1:7" ht="15">
      <c r="A779" s="30"/>
      <c r="B779" s="54" t="s">
        <v>434</v>
      </c>
      <c r="C779" s="23" t="s">
        <v>0</v>
      </c>
      <c r="D779" s="43">
        <v>0.688</v>
      </c>
      <c r="E779" s="13"/>
      <c r="F779" s="43"/>
      <c r="G779" s="30"/>
    </row>
    <row r="780" spans="1:7" ht="15">
      <c r="A780" s="30"/>
      <c r="B780" s="54" t="s">
        <v>519</v>
      </c>
      <c r="C780" s="23" t="s">
        <v>0</v>
      </c>
      <c r="D780" s="43">
        <v>0.84</v>
      </c>
      <c r="E780" s="13"/>
      <c r="F780" s="43"/>
      <c r="G780" s="30"/>
    </row>
    <row r="781" spans="1:7" ht="15">
      <c r="A781" s="30"/>
      <c r="B781" s="56" t="s">
        <v>520</v>
      </c>
      <c r="C781" s="23"/>
      <c r="D781" s="43"/>
      <c r="E781" s="13"/>
      <c r="F781" s="43"/>
      <c r="G781" s="30"/>
    </row>
    <row r="782" spans="1:7" ht="15">
      <c r="A782" s="30"/>
      <c r="B782" s="54" t="s">
        <v>434</v>
      </c>
      <c r="C782" s="23" t="s">
        <v>0</v>
      </c>
      <c r="D782" s="43">
        <v>0.71</v>
      </c>
      <c r="E782" s="13"/>
      <c r="F782" s="43"/>
      <c r="G782" s="30"/>
    </row>
    <row r="783" spans="1:7" ht="15">
      <c r="A783" s="30"/>
      <c r="B783" s="54" t="s">
        <v>519</v>
      </c>
      <c r="C783" s="23" t="s">
        <v>0</v>
      </c>
      <c r="D783" s="43">
        <v>0.86</v>
      </c>
      <c r="E783" s="13"/>
      <c r="F783" s="43"/>
      <c r="G783" s="30"/>
    </row>
    <row r="784" spans="1:7" ht="15">
      <c r="A784" s="30"/>
      <c r="B784" s="56" t="s">
        <v>696</v>
      </c>
      <c r="C784" s="23"/>
      <c r="D784" s="43"/>
      <c r="E784" s="13"/>
      <c r="F784" s="43"/>
      <c r="G784" s="30"/>
    </row>
    <row r="785" spans="1:7" ht="15">
      <c r="A785" s="30"/>
      <c r="B785" s="54" t="s">
        <v>434</v>
      </c>
      <c r="C785" s="23" t="s">
        <v>0</v>
      </c>
      <c r="D785" s="43">
        <v>0.344</v>
      </c>
      <c r="E785" s="13"/>
      <c r="F785" s="43"/>
      <c r="G785" s="30"/>
    </row>
    <row r="786" spans="1:7" ht="15">
      <c r="A786" s="30"/>
      <c r="B786" s="54" t="s">
        <v>519</v>
      </c>
      <c r="C786" s="23" t="s">
        <v>0</v>
      </c>
      <c r="D786" s="43">
        <v>0.84</v>
      </c>
      <c r="E786" s="13"/>
      <c r="F786" s="43"/>
      <c r="G786" s="30"/>
    </row>
    <row r="787" spans="1:7" ht="15">
      <c r="A787" s="29">
        <v>13.022</v>
      </c>
      <c r="B787" s="52" t="s">
        <v>555</v>
      </c>
      <c r="C787" s="30"/>
      <c r="D787" s="43"/>
      <c r="E787" s="13"/>
      <c r="F787" s="43"/>
      <c r="G787" s="30"/>
    </row>
    <row r="788" spans="1:7" ht="15">
      <c r="A788" s="30"/>
      <c r="B788" s="59" t="s">
        <v>537</v>
      </c>
      <c r="C788" s="23" t="s">
        <v>0</v>
      </c>
      <c r="D788" s="43">
        <v>4.3358</v>
      </c>
      <c r="E788" s="13"/>
      <c r="F788" s="43"/>
      <c r="G788" s="30"/>
    </row>
    <row r="789" spans="1:7" ht="15">
      <c r="A789" s="30"/>
      <c r="B789" s="58" t="s">
        <v>540</v>
      </c>
      <c r="C789" s="23" t="s">
        <v>0</v>
      </c>
      <c r="D789" s="43">
        <v>4.3358</v>
      </c>
      <c r="E789" s="13"/>
      <c r="F789" s="43"/>
      <c r="G789" s="30"/>
    </row>
    <row r="790" spans="1:7" ht="15">
      <c r="A790" s="30"/>
      <c r="B790" s="58" t="s">
        <v>547</v>
      </c>
      <c r="C790" s="23" t="s">
        <v>0</v>
      </c>
      <c r="D790" s="43">
        <v>4.3358</v>
      </c>
      <c r="E790" s="13"/>
      <c r="F790" s="43"/>
      <c r="G790" s="30"/>
    </row>
    <row r="791" spans="1:7" ht="15">
      <c r="A791" s="30"/>
      <c r="B791" s="58" t="s">
        <v>548</v>
      </c>
      <c r="C791" s="23" t="s">
        <v>0</v>
      </c>
      <c r="D791" s="43">
        <v>4.3358</v>
      </c>
      <c r="E791" s="13"/>
      <c r="F791" s="43"/>
      <c r="G791" s="30"/>
    </row>
    <row r="792" spans="1:7" ht="15">
      <c r="A792" s="29">
        <v>13.023</v>
      </c>
      <c r="B792" s="52" t="s">
        <v>577</v>
      </c>
      <c r="C792" s="23"/>
      <c r="D792" s="43"/>
      <c r="E792" s="13"/>
      <c r="F792" s="43"/>
      <c r="G792" s="30"/>
    </row>
    <row r="793" spans="1:7" ht="15">
      <c r="A793" s="30"/>
      <c r="B793" s="60" t="s">
        <v>561</v>
      </c>
      <c r="C793" s="30"/>
      <c r="D793" s="43"/>
      <c r="E793" s="43"/>
      <c r="F793" s="43"/>
      <c r="G793" s="30"/>
    </row>
    <row r="794" spans="1:7" ht="15">
      <c r="A794" s="30"/>
      <c r="B794" s="53" t="s">
        <v>785</v>
      </c>
      <c r="C794" s="23" t="s">
        <v>784</v>
      </c>
      <c r="D794" s="43">
        <v>24.79</v>
      </c>
      <c r="E794" s="13"/>
      <c r="F794" s="43"/>
      <c r="G794" s="30"/>
    </row>
    <row r="795" spans="1:7" ht="15">
      <c r="A795" s="30"/>
      <c r="B795" s="53" t="s">
        <v>562</v>
      </c>
      <c r="C795" s="23" t="s">
        <v>0</v>
      </c>
      <c r="D795" s="43">
        <v>16.32</v>
      </c>
      <c r="E795" s="13"/>
      <c r="F795" s="43"/>
      <c r="G795" s="30"/>
    </row>
    <row r="796" spans="1:7" ht="15">
      <c r="A796" s="30"/>
      <c r="B796" s="60" t="s">
        <v>576</v>
      </c>
      <c r="C796" s="30"/>
      <c r="D796" s="43"/>
      <c r="E796" s="13"/>
      <c r="F796" s="43"/>
      <c r="G796" s="30"/>
    </row>
    <row r="797" spans="1:7" ht="15">
      <c r="A797" s="30"/>
      <c r="B797" s="59" t="s">
        <v>717</v>
      </c>
      <c r="C797" s="23" t="s">
        <v>0</v>
      </c>
      <c r="D797" s="30">
        <f>18.97+2.28</f>
        <v>21.25</v>
      </c>
      <c r="E797" s="13"/>
      <c r="F797" s="43"/>
      <c r="G797" s="30"/>
    </row>
    <row r="798" spans="1:7" ht="15">
      <c r="A798" s="30"/>
      <c r="B798" s="59" t="s">
        <v>718</v>
      </c>
      <c r="C798" s="23" t="s">
        <v>0</v>
      </c>
      <c r="D798" s="30">
        <f>18.97+2.28</f>
        <v>21.25</v>
      </c>
      <c r="E798" s="13"/>
      <c r="F798" s="43"/>
      <c r="G798" s="30"/>
    </row>
    <row r="799" spans="1:7" ht="15">
      <c r="A799" s="30"/>
      <c r="B799" s="58" t="s">
        <v>719</v>
      </c>
      <c r="C799" s="23" t="s">
        <v>0</v>
      </c>
      <c r="D799" s="30">
        <f>18.97+2.28</f>
        <v>21.25</v>
      </c>
      <c r="E799" s="13"/>
      <c r="F799" s="43"/>
      <c r="G799" s="30"/>
    </row>
    <row r="800" spans="1:7" ht="15">
      <c r="A800" s="30"/>
      <c r="B800" s="58" t="s">
        <v>697</v>
      </c>
      <c r="C800" s="23" t="s">
        <v>0</v>
      </c>
      <c r="D800" s="43">
        <v>7.68</v>
      </c>
      <c r="E800" s="13"/>
      <c r="F800" s="43"/>
      <c r="G800" s="30"/>
    </row>
    <row r="801" spans="1:7" ht="15">
      <c r="A801" s="30"/>
      <c r="B801" s="58" t="s">
        <v>787</v>
      </c>
      <c r="C801" s="23" t="s">
        <v>786</v>
      </c>
      <c r="D801" s="43">
        <v>110.88</v>
      </c>
      <c r="E801" s="13"/>
      <c r="F801" s="43"/>
      <c r="G801" s="30"/>
    </row>
    <row r="802" spans="1:7" ht="15">
      <c r="A802" s="30"/>
      <c r="B802" s="60" t="s">
        <v>720</v>
      </c>
      <c r="C802" s="30"/>
      <c r="D802" s="43"/>
      <c r="E802" s="43"/>
      <c r="F802" s="43"/>
      <c r="G802" s="30"/>
    </row>
    <row r="803" spans="1:7" ht="15">
      <c r="A803" s="30"/>
      <c r="B803" s="59" t="s">
        <v>721</v>
      </c>
      <c r="C803" s="23" t="s">
        <v>0</v>
      </c>
      <c r="D803" s="43">
        <v>4.91</v>
      </c>
      <c r="E803" s="13"/>
      <c r="F803" s="43"/>
      <c r="G803" s="30"/>
    </row>
    <row r="804" spans="1:7" ht="15">
      <c r="A804" s="30"/>
      <c r="B804" s="59" t="s">
        <v>722</v>
      </c>
      <c r="C804" s="23" t="s">
        <v>0</v>
      </c>
      <c r="D804" s="43">
        <v>4.91</v>
      </c>
      <c r="E804" s="13"/>
      <c r="F804" s="43"/>
      <c r="G804" s="30"/>
    </row>
    <row r="805" spans="1:7" ht="15">
      <c r="A805" s="30"/>
      <c r="B805" s="58" t="s">
        <v>723</v>
      </c>
      <c r="C805" s="23" t="s">
        <v>0</v>
      </c>
      <c r="D805" s="43">
        <v>4.91</v>
      </c>
      <c r="E805" s="13"/>
      <c r="F805" s="43"/>
      <c r="G805" s="30"/>
    </row>
    <row r="806" spans="1:7" ht="15">
      <c r="A806" s="30"/>
      <c r="B806" s="58" t="s">
        <v>570</v>
      </c>
      <c r="C806" s="23" t="s">
        <v>0</v>
      </c>
      <c r="D806" s="43">
        <v>3.6</v>
      </c>
      <c r="E806" s="13"/>
      <c r="F806" s="43"/>
      <c r="G806" s="30"/>
    </row>
    <row r="807" spans="1:7" ht="15">
      <c r="A807" s="29"/>
      <c r="B807" s="21" t="s">
        <v>296</v>
      </c>
      <c r="C807" s="30"/>
      <c r="D807" s="43"/>
      <c r="E807" s="43"/>
      <c r="F807" s="43"/>
      <c r="G807" s="30"/>
    </row>
    <row r="808" spans="1:7" ht="15">
      <c r="A808" s="29">
        <v>13.024</v>
      </c>
      <c r="B808" s="30" t="s">
        <v>572</v>
      </c>
      <c r="C808" s="42" t="s">
        <v>10</v>
      </c>
      <c r="D808" s="43">
        <v>462.504</v>
      </c>
      <c r="E808" s="13"/>
      <c r="F808" s="43"/>
      <c r="G808" s="30"/>
    </row>
    <row r="809" spans="1:7" ht="15">
      <c r="A809" s="29">
        <f>+A808+0.001</f>
        <v>13.024999999999999</v>
      </c>
      <c r="B809" s="30" t="s">
        <v>573</v>
      </c>
      <c r="C809" s="42" t="s">
        <v>10</v>
      </c>
      <c r="D809" s="43">
        <v>939.84</v>
      </c>
      <c r="E809" s="13"/>
      <c r="F809" s="43"/>
      <c r="G809" s="30"/>
    </row>
    <row r="810" spans="1:7" ht="15">
      <c r="A810" s="29">
        <f aca="true" t="shared" si="18" ref="A810:A877">+A809+0.001</f>
        <v>13.025999999999998</v>
      </c>
      <c r="B810" s="30" t="s">
        <v>574</v>
      </c>
      <c r="C810" s="42" t="s">
        <v>10</v>
      </c>
      <c r="D810" s="43">
        <v>18.516</v>
      </c>
      <c r="E810" s="13"/>
      <c r="F810" s="43"/>
      <c r="G810" s="30"/>
    </row>
    <row r="811" spans="1:7" ht="15">
      <c r="A811" s="29">
        <f t="shared" si="18"/>
        <v>13.026999999999997</v>
      </c>
      <c r="B811" s="30" t="s">
        <v>575</v>
      </c>
      <c r="C811" s="42" t="s">
        <v>10</v>
      </c>
      <c r="D811" s="43">
        <v>2.52</v>
      </c>
      <c r="E811" s="13"/>
      <c r="F811" s="43"/>
      <c r="G811" s="30"/>
    </row>
    <row r="812" spans="1:7" ht="15">
      <c r="A812" s="29"/>
      <c r="B812" s="21" t="s">
        <v>292</v>
      </c>
      <c r="C812" s="48"/>
      <c r="D812" s="49"/>
      <c r="E812" s="50"/>
      <c r="F812" s="50"/>
      <c r="G812" s="14"/>
    </row>
    <row r="813" spans="1:7" ht="15">
      <c r="A813" s="29">
        <v>13.028</v>
      </c>
      <c r="B813" s="47" t="s">
        <v>262</v>
      </c>
      <c r="C813" s="48" t="s">
        <v>10</v>
      </c>
      <c r="D813" s="49">
        <v>1878.279</v>
      </c>
      <c r="E813" s="50"/>
      <c r="F813" s="50"/>
      <c r="G813" s="14"/>
    </row>
    <row r="814" spans="1:7" ht="15">
      <c r="A814" s="29">
        <f t="shared" si="18"/>
        <v>13.029</v>
      </c>
      <c r="B814" s="47" t="s">
        <v>293</v>
      </c>
      <c r="C814" s="48" t="s">
        <v>10</v>
      </c>
      <c r="D814" s="49">
        <v>1878.279</v>
      </c>
      <c r="E814" s="50"/>
      <c r="F814" s="50"/>
      <c r="G814" s="14"/>
    </row>
    <row r="815" spans="1:7" ht="15">
      <c r="A815" s="29">
        <f t="shared" si="18"/>
        <v>13.03</v>
      </c>
      <c r="B815" s="47" t="s">
        <v>581</v>
      </c>
      <c r="C815" s="48" t="s">
        <v>10</v>
      </c>
      <c r="D815" s="49">
        <v>2249</v>
      </c>
      <c r="E815" s="50"/>
      <c r="F815" s="50"/>
      <c r="G815" s="14"/>
    </row>
    <row r="816" spans="1:7" ht="15">
      <c r="A816" s="29">
        <f t="shared" si="18"/>
        <v>13.030999999999999</v>
      </c>
      <c r="B816" s="51" t="s">
        <v>309</v>
      </c>
      <c r="C816" s="48" t="s">
        <v>11</v>
      </c>
      <c r="D816" s="49">
        <v>1605.786</v>
      </c>
      <c r="E816" s="50"/>
      <c r="F816" s="50"/>
      <c r="G816" s="14"/>
    </row>
    <row r="817" spans="1:7" ht="15">
      <c r="A817" s="29">
        <f t="shared" si="18"/>
        <v>13.031999999999998</v>
      </c>
      <c r="B817" s="47" t="s">
        <v>294</v>
      </c>
      <c r="C817" s="48" t="s">
        <v>10</v>
      </c>
      <c r="D817" s="49">
        <v>670.2149999999999</v>
      </c>
      <c r="E817" s="50"/>
      <c r="F817" s="50"/>
      <c r="G817" s="14"/>
    </row>
    <row r="818" spans="1:7" ht="15">
      <c r="A818" s="29">
        <f t="shared" si="18"/>
        <v>13.032999999999998</v>
      </c>
      <c r="B818" s="47" t="s">
        <v>299</v>
      </c>
      <c r="C818" s="48" t="s">
        <v>10</v>
      </c>
      <c r="D818" s="49">
        <v>237.53600000000003</v>
      </c>
      <c r="E818" s="50"/>
      <c r="F818" s="50"/>
      <c r="G818" s="14"/>
    </row>
    <row r="819" spans="1:7" ht="15">
      <c r="A819" s="29">
        <f t="shared" si="18"/>
        <v>13.033999999999997</v>
      </c>
      <c r="B819" s="47" t="s">
        <v>582</v>
      </c>
      <c r="C819" s="48" t="s">
        <v>11</v>
      </c>
      <c r="D819" s="49">
        <v>3114.6440000000002</v>
      </c>
      <c r="E819" s="50"/>
      <c r="F819" s="50"/>
      <c r="G819" s="14"/>
    </row>
    <row r="820" spans="1:7" ht="15">
      <c r="A820" s="29">
        <f t="shared" si="18"/>
        <v>13.034999999999997</v>
      </c>
      <c r="B820" s="47" t="s">
        <v>776</v>
      </c>
      <c r="C820" s="48" t="s">
        <v>10</v>
      </c>
      <c r="D820" s="49">
        <v>371.82</v>
      </c>
      <c r="E820" s="50"/>
      <c r="F820" s="50"/>
      <c r="G820" s="14"/>
    </row>
    <row r="821" spans="1:7" ht="15">
      <c r="A821" s="29">
        <f t="shared" si="18"/>
        <v>13.035999999999996</v>
      </c>
      <c r="B821" s="47" t="s">
        <v>777</v>
      </c>
      <c r="C821" s="48" t="s">
        <v>10</v>
      </c>
      <c r="D821" s="49">
        <v>409</v>
      </c>
      <c r="E821" s="50"/>
      <c r="F821" s="50"/>
      <c r="G821" s="14"/>
    </row>
    <row r="822" spans="1:7" ht="15">
      <c r="A822" s="29">
        <f t="shared" si="18"/>
        <v>13.036999999999995</v>
      </c>
      <c r="B822" s="47" t="s">
        <v>778</v>
      </c>
      <c r="C822" s="48" t="s">
        <v>11</v>
      </c>
      <c r="D822" s="49">
        <v>185.91</v>
      </c>
      <c r="E822" s="50"/>
      <c r="F822" s="50"/>
      <c r="G822" s="14"/>
    </row>
    <row r="823" spans="1:7" ht="15">
      <c r="A823" s="29"/>
      <c r="B823" s="47"/>
      <c r="C823" s="48"/>
      <c r="D823" s="49"/>
      <c r="E823" s="50"/>
      <c r="F823" s="50"/>
      <c r="G823" s="14"/>
    </row>
    <row r="824" spans="1:7" ht="15">
      <c r="A824" s="29"/>
      <c r="B824" s="21" t="s">
        <v>316</v>
      </c>
      <c r="C824" s="48"/>
      <c r="D824" s="49"/>
      <c r="E824" s="50"/>
      <c r="F824" s="50"/>
      <c r="G824" s="14"/>
    </row>
    <row r="825" spans="1:7" ht="15">
      <c r="A825" s="29">
        <v>13.035</v>
      </c>
      <c r="B825" s="47" t="s">
        <v>317</v>
      </c>
      <c r="C825" s="48" t="s">
        <v>10</v>
      </c>
      <c r="D825" s="49">
        <v>491.72</v>
      </c>
      <c r="E825" s="50"/>
      <c r="F825" s="50"/>
      <c r="G825" s="14"/>
    </row>
    <row r="826" spans="1:7" ht="15">
      <c r="A826" s="29">
        <f>+A825+0.001</f>
        <v>13.036</v>
      </c>
      <c r="B826" s="47" t="s">
        <v>358</v>
      </c>
      <c r="C826" s="48" t="s">
        <v>11</v>
      </c>
      <c r="D826" s="49">
        <v>616.36</v>
      </c>
      <c r="E826" s="50"/>
      <c r="F826" s="50"/>
      <c r="G826" s="14"/>
    </row>
    <row r="827" spans="1:7" ht="15">
      <c r="A827" s="29">
        <f>+A826+0.001</f>
        <v>13.036999999999999</v>
      </c>
      <c r="B827" s="47" t="s">
        <v>320</v>
      </c>
      <c r="C827" s="48" t="s">
        <v>11</v>
      </c>
      <c r="D827" s="49">
        <f>31.7*4</f>
        <v>126.8</v>
      </c>
      <c r="E827" s="50"/>
      <c r="F827" s="50"/>
      <c r="G827" s="14"/>
    </row>
    <row r="828" spans="1:7" ht="15">
      <c r="A828" s="29">
        <f>+A827+0.001</f>
        <v>13.037999999999998</v>
      </c>
      <c r="B828" s="47" t="s">
        <v>318</v>
      </c>
      <c r="C828" s="48" t="s">
        <v>12</v>
      </c>
      <c r="D828" s="49">
        <v>1</v>
      </c>
      <c r="E828" s="50"/>
      <c r="F828" s="50"/>
      <c r="G828" s="14"/>
    </row>
    <row r="829" spans="1:7" ht="15">
      <c r="A829" s="29"/>
      <c r="B829" s="21" t="s">
        <v>322</v>
      </c>
      <c r="C829" s="48"/>
      <c r="D829" s="49"/>
      <c r="E829" s="50"/>
      <c r="F829" s="50"/>
      <c r="G829" s="14"/>
    </row>
    <row r="830" spans="1:7" ht="15">
      <c r="A830" s="29">
        <v>13.04</v>
      </c>
      <c r="B830" s="62" t="s">
        <v>601</v>
      </c>
      <c r="C830" s="48"/>
      <c r="D830" s="49"/>
      <c r="E830" s="50"/>
      <c r="F830" s="50"/>
      <c r="G830" s="14"/>
    </row>
    <row r="831" spans="1:7" ht="15">
      <c r="A831" s="29"/>
      <c r="B831" s="47" t="s">
        <v>325</v>
      </c>
      <c r="C831" s="48" t="s">
        <v>10</v>
      </c>
      <c r="D831" s="49">
        <f>496+325</f>
        <v>821</v>
      </c>
      <c r="E831" s="50"/>
      <c r="F831" s="50"/>
      <c r="G831" s="14"/>
    </row>
    <row r="832" spans="1:7" ht="15">
      <c r="A832" s="29"/>
      <c r="B832" s="47" t="s">
        <v>323</v>
      </c>
      <c r="C832" s="48" t="s">
        <v>11</v>
      </c>
      <c r="D832" s="49">
        <f>61*25+(25*61)</f>
        <v>3050</v>
      </c>
      <c r="E832" s="50"/>
      <c r="F832" s="50"/>
      <c r="G832" s="14"/>
    </row>
    <row r="833" spans="1:7" ht="15">
      <c r="A833" s="29"/>
      <c r="B833" s="47" t="s">
        <v>326</v>
      </c>
      <c r="C833" s="48" t="s">
        <v>10</v>
      </c>
      <c r="D833" s="49">
        <f>+D831</f>
        <v>821</v>
      </c>
      <c r="E833" s="50"/>
      <c r="F833" s="50"/>
      <c r="G833" s="14"/>
    </row>
    <row r="834" spans="1:7" ht="15">
      <c r="A834" s="29"/>
      <c r="B834" s="47" t="s">
        <v>324</v>
      </c>
      <c r="C834" s="48" t="s">
        <v>11</v>
      </c>
      <c r="D834" s="49">
        <f>+D831*0.76254</f>
        <v>626.04534</v>
      </c>
      <c r="E834" s="50"/>
      <c r="F834" s="50"/>
      <c r="G834" s="14"/>
    </row>
    <row r="835" spans="1:7" ht="15">
      <c r="A835" s="29">
        <v>13.041</v>
      </c>
      <c r="B835" s="62" t="s">
        <v>602</v>
      </c>
      <c r="C835" s="48"/>
      <c r="D835" s="49"/>
      <c r="E835" s="50"/>
      <c r="F835" s="50"/>
      <c r="G835" s="14"/>
    </row>
    <row r="836" spans="1:7" ht="15">
      <c r="A836" s="29"/>
      <c r="B836" s="47" t="s">
        <v>325</v>
      </c>
      <c r="C836" s="48" t="s">
        <v>10</v>
      </c>
      <c r="D836" s="49">
        <v>1089.88</v>
      </c>
      <c r="E836" s="50"/>
      <c r="F836" s="50"/>
      <c r="G836" s="14"/>
    </row>
    <row r="837" spans="1:7" ht="15">
      <c r="A837" s="29"/>
      <c r="B837" s="47" t="s">
        <v>323</v>
      </c>
      <c r="C837" s="48" t="s">
        <v>11</v>
      </c>
      <c r="D837" s="49">
        <f>61*18+(25*45)</f>
        <v>2223</v>
      </c>
      <c r="E837" s="50"/>
      <c r="F837" s="50"/>
      <c r="G837" s="14"/>
    </row>
    <row r="838" spans="1:7" ht="15">
      <c r="A838" s="29"/>
      <c r="B838" s="47" t="s">
        <v>326</v>
      </c>
      <c r="C838" s="48" t="s">
        <v>10</v>
      </c>
      <c r="D838" s="49">
        <f>+D836</f>
        <v>1089.88</v>
      </c>
      <c r="E838" s="50"/>
      <c r="F838" s="50"/>
      <c r="G838" s="14"/>
    </row>
    <row r="839" spans="1:7" ht="15">
      <c r="A839" s="29"/>
      <c r="B839" s="47" t="s">
        <v>324</v>
      </c>
      <c r="C839" s="48" t="s">
        <v>11</v>
      </c>
      <c r="D839" s="49">
        <f>+D836*0.76254</f>
        <v>831.0770952</v>
      </c>
      <c r="E839" s="50"/>
      <c r="F839" s="50"/>
      <c r="G839" s="14"/>
    </row>
    <row r="840" spans="1:7" ht="15">
      <c r="A840" s="29">
        <v>13.042</v>
      </c>
      <c r="B840" s="62" t="s">
        <v>698</v>
      </c>
      <c r="C840" s="48"/>
      <c r="D840" s="49"/>
      <c r="E840" s="50"/>
      <c r="F840" s="50"/>
      <c r="G840" s="14"/>
    </row>
    <row r="841" spans="1:7" ht="15">
      <c r="A841" s="29"/>
      <c r="B841" s="47" t="s">
        <v>325</v>
      </c>
      <c r="C841" s="48" t="s">
        <v>10</v>
      </c>
      <c r="D841" s="49">
        <v>1089.88</v>
      </c>
      <c r="E841" s="50"/>
      <c r="F841" s="50"/>
      <c r="G841" s="14"/>
    </row>
    <row r="842" spans="1:7" ht="15">
      <c r="A842" s="29"/>
      <c r="B842" s="47" t="s">
        <v>323</v>
      </c>
      <c r="C842" s="48" t="s">
        <v>11</v>
      </c>
      <c r="D842" s="49">
        <f>61*18+(25*45)</f>
        <v>2223</v>
      </c>
      <c r="E842" s="50"/>
      <c r="F842" s="50"/>
      <c r="G842" s="14"/>
    </row>
    <row r="843" spans="1:7" ht="15">
      <c r="A843" s="29"/>
      <c r="B843" s="47" t="s">
        <v>326</v>
      </c>
      <c r="C843" s="48" t="s">
        <v>10</v>
      </c>
      <c r="D843" s="49">
        <f>+D841</f>
        <v>1089.88</v>
      </c>
      <c r="E843" s="50"/>
      <c r="F843" s="50"/>
      <c r="G843" s="14"/>
    </row>
    <row r="844" spans="1:7" ht="15">
      <c r="A844" s="29"/>
      <c r="B844" s="47" t="s">
        <v>324</v>
      </c>
      <c r="C844" s="48" t="s">
        <v>11</v>
      </c>
      <c r="D844" s="49">
        <f>+D841*0.76254</f>
        <v>831.0770952</v>
      </c>
      <c r="E844" s="50"/>
      <c r="F844" s="50"/>
      <c r="G844" s="14"/>
    </row>
    <row r="845" spans="1:7" ht="15">
      <c r="A845" s="29"/>
      <c r="B845" s="21" t="s">
        <v>363</v>
      </c>
      <c r="C845" s="48"/>
      <c r="D845" s="49"/>
      <c r="E845" s="50"/>
      <c r="F845" s="50"/>
      <c r="G845" s="14"/>
    </row>
    <row r="846" spans="1:7" ht="15">
      <c r="A846" s="29">
        <v>13.043</v>
      </c>
      <c r="B846" s="47" t="s">
        <v>600</v>
      </c>
      <c r="C846" s="48" t="s">
        <v>11</v>
      </c>
      <c r="D846" s="49">
        <f>7*4*4*1.1*1.1</f>
        <v>135.52000000000004</v>
      </c>
      <c r="E846" s="50"/>
      <c r="F846" s="50"/>
      <c r="G846" s="14"/>
    </row>
    <row r="847" spans="1:7" ht="15">
      <c r="A847" s="29">
        <f t="shared" si="18"/>
        <v>13.043999999999999</v>
      </c>
      <c r="B847" s="47" t="s">
        <v>380</v>
      </c>
      <c r="C847" s="48" t="s">
        <v>11</v>
      </c>
      <c r="D847" s="49">
        <f>7*4*4</f>
        <v>112</v>
      </c>
      <c r="E847" s="50"/>
      <c r="F847" s="50"/>
      <c r="G847" s="14"/>
    </row>
    <row r="848" spans="1:7" ht="15">
      <c r="A848" s="29">
        <f t="shared" si="18"/>
        <v>13.044999999999998</v>
      </c>
      <c r="B848" s="47" t="s">
        <v>381</v>
      </c>
      <c r="C848" s="48" t="s">
        <v>11</v>
      </c>
      <c r="D848" s="49">
        <v>72</v>
      </c>
      <c r="E848" s="50"/>
      <c r="F848" s="50"/>
      <c r="G848" s="14"/>
    </row>
    <row r="849" spans="1:7" ht="15">
      <c r="A849" s="29">
        <f t="shared" si="18"/>
        <v>13.045999999999998</v>
      </c>
      <c r="B849" s="47" t="s">
        <v>595</v>
      </c>
      <c r="C849" s="48" t="s">
        <v>11</v>
      </c>
      <c r="D849" s="49">
        <v>24.16</v>
      </c>
      <c r="E849" s="50"/>
      <c r="F849" s="50"/>
      <c r="G849" s="14"/>
    </row>
    <row r="850" spans="1:7" ht="25.5">
      <c r="A850" s="29">
        <f t="shared" si="18"/>
        <v>13.046999999999997</v>
      </c>
      <c r="B850" s="47" t="s">
        <v>590</v>
      </c>
      <c r="C850" s="48" t="s">
        <v>589</v>
      </c>
      <c r="D850" s="49">
        <v>32</v>
      </c>
      <c r="E850" s="50"/>
      <c r="F850" s="50"/>
      <c r="G850" s="14"/>
    </row>
    <row r="851" spans="1:7" ht="15">
      <c r="A851" s="29">
        <f t="shared" si="18"/>
        <v>13.047999999999996</v>
      </c>
      <c r="B851" s="47" t="s">
        <v>592</v>
      </c>
      <c r="C851" s="48" t="s">
        <v>364</v>
      </c>
      <c r="D851" s="49">
        <f>3.45*12*3.28</f>
        <v>135.792</v>
      </c>
      <c r="E851" s="50"/>
      <c r="F851" s="50"/>
      <c r="G851" s="14"/>
    </row>
    <row r="852" spans="1:7" ht="25.5">
      <c r="A852" s="29">
        <f t="shared" si="18"/>
        <v>13.048999999999996</v>
      </c>
      <c r="B852" s="47" t="s">
        <v>371</v>
      </c>
      <c r="C852" s="48" t="s">
        <v>27</v>
      </c>
      <c r="D852" s="49">
        <f>4*2*8</f>
        <v>64</v>
      </c>
      <c r="E852" s="50"/>
      <c r="F852" s="50"/>
      <c r="G852" s="14"/>
    </row>
    <row r="853" spans="1:7" ht="15">
      <c r="A853" s="29">
        <f>+A852+0.001</f>
        <v>13.049999999999995</v>
      </c>
      <c r="B853" s="47" t="s">
        <v>367</v>
      </c>
      <c r="C853" s="48" t="s">
        <v>27</v>
      </c>
      <c r="D853" s="49">
        <f>+D852</f>
        <v>64</v>
      </c>
      <c r="E853" s="50"/>
      <c r="F853" s="50"/>
      <c r="G853" s="14"/>
    </row>
    <row r="854" spans="1:7" ht="25.5">
      <c r="A854" s="29">
        <f t="shared" si="18"/>
        <v>13.050999999999995</v>
      </c>
      <c r="B854" s="47" t="s">
        <v>366</v>
      </c>
      <c r="C854" s="48" t="s">
        <v>27</v>
      </c>
      <c r="D854" s="49">
        <f>+D853</f>
        <v>64</v>
      </c>
      <c r="E854" s="50"/>
      <c r="F854" s="50"/>
      <c r="G854" s="14"/>
    </row>
    <row r="855" spans="1:7" ht="25.5">
      <c r="A855" s="29">
        <f t="shared" si="18"/>
        <v>13.051999999999994</v>
      </c>
      <c r="B855" s="47" t="s">
        <v>372</v>
      </c>
      <c r="C855" s="48" t="s">
        <v>27</v>
      </c>
      <c r="D855" s="49">
        <f>9*6</f>
        <v>54</v>
      </c>
      <c r="E855" s="50"/>
      <c r="F855" s="50"/>
      <c r="G855" s="14"/>
    </row>
    <row r="856" spans="1:7" ht="15">
      <c r="A856" s="29">
        <f t="shared" si="18"/>
        <v>13.052999999999994</v>
      </c>
      <c r="B856" s="47" t="s">
        <v>365</v>
      </c>
      <c r="C856" s="48" t="s">
        <v>27</v>
      </c>
      <c r="D856" s="49">
        <f>+D855</f>
        <v>54</v>
      </c>
      <c r="E856" s="50"/>
      <c r="F856" s="50"/>
      <c r="G856" s="14"/>
    </row>
    <row r="857" spans="1:7" ht="15">
      <c r="A857" s="29">
        <f t="shared" si="18"/>
        <v>13.053999999999993</v>
      </c>
      <c r="B857" s="47" t="s">
        <v>374</v>
      </c>
      <c r="C857" s="48" t="s">
        <v>27</v>
      </c>
      <c r="D857" s="49">
        <f>4*4</f>
        <v>16</v>
      </c>
      <c r="E857" s="50"/>
      <c r="F857" s="50"/>
      <c r="G857" s="14"/>
    </row>
    <row r="858" spans="1:7" ht="15">
      <c r="A858" s="29">
        <f t="shared" si="18"/>
        <v>13.054999999999993</v>
      </c>
      <c r="B858" s="47" t="s">
        <v>591</v>
      </c>
      <c r="C858" s="48" t="s">
        <v>27</v>
      </c>
      <c r="D858" s="49">
        <v>18</v>
      </c>
      <c r="E858" s="50"/>
      <c r="F858" s="50"/>
      <c r="G858" s="14"/>
    </row>
    <row r="859" spans="1:7" ht="15">
      <c r="A859" s="29">
        <f t="shared" si="18"/>
        <v>13.055999999999992</v>
      </c>
      <c r="B859" s="47" t="s">
        <v>376</v>
      </c>
      <c r="C859" s="48" t="s">
        <v>27</v>
      </c>
      <c r="D859" s="49">
        <f>5*4</f>
        <v>20</v>
      </c>
      <c r="E859" s="50"/>
      <c r="F859" s="50"/>
      <c r="G859" s="14"/>
    </row>
    <row r="860" spans="1:7" ht="15">
      <c r="A860" s="29">
        <f t="shared" si="18"/>
        <v>13.056999999999992</v>
      </c>
      <c r="B860" s="47" t="s">
        <v>377</v>
      </c>
      <c r="C860" s="48" t="s">
        <v>27</v>
      </c>
      <c r="D860" s="49">
        <f>8*4</f>
        <v>32</v>
      </c>
      <c r="E860" s="50"/>
      <c r="F860" s="50"/>
      <c r="G860" s="14"/>
    </row>
    <row r="861" spans="1:7" ht="15">
      <c r="A861" s="29">
        <f t="shared" si="18"/>
        <v>13.057999999999991</v>
      </c>
      <c r="B861" s="47" t="s">
        <v>383</v>
      </c>
      <c r="C861" s="48" t="s">
        <v>13</v>
      </c>
      <c r="D861" s="49">
        <v>4</v>
      </c>
      <c r="E861" s="50"/>
      <c r="F861" s="50"/>
      <c r="G861" s="14"/>
    </row>
    <row r="862" spans="1:7" ht="15">
      <c r="A862" s="29">
        <f t="shared" si="18"/>
        <v>13.05899999999999</v>
      </c>
      <c r="B862" s="47" t="s">
        <v>593</v>
      </c>
      <c r="C862" s="48" t="s">
        <v>13</v>
      </c>
      <c r="D862" s="49">
        <v>4</v>
      </c>
      <c r="E862" s="50"/>
      <c r="F862" s="50"/>
      <c r="G862" s="14"/>
    </row>
    <row r="863" spans="1:7" ht="15">
      <c r="A863" s="29">
        <f t="shared" si="18"/>
        <v>13.05999999999999</v>
      </c>
      <c r="B863" s="47" t="s">
        <v>594</v>
      </c>
      <c r="C863" s="48" t="s">
        <v>13</v>
      </c>
      <c r="D863" s="49">
        <v>4</v>
      </c>
      <c r="E863" s="50"/>
      <c r="F863" s="50"/>
      <c r="G863" s="14"/>
    </row>
    <row r="864" spans="1:7" ht="15">
      <c r="A864" s="29">
        <f t="shared" si="18"/>
        <v>13.06099999999999</v>
      </c>
      <c r="B864" s="47" t="s">
        <v>596</v>
      </c>
      <c r="C864" s="48" t="s">
        <v>13</v>
      </c>
      <c r="D864" s="49">
        <f>3*4</f>
        <v>12</v>
      </c>
      <c r="E864" s="50"/>
      <c r="F864" s="50"/>
      <c r="G864" s="14"/>
    </row>
    <row r="865" spans="1:7" ht="15">
      <c r="A865" s="29"/>
      <c r="B865" s="21" t="s">
        <v>327</v>
      </c>
      <c r="C865" s="48"/>
      <c r="D865" s="49"/>
      <c r="E865" s="50"/>
      <c r="F865" s="50"/>
      <c r="G865" s="14"/>
    </row>
    <row r="866" spans="1:7" ht="15">
      <c r="A866" s="29">
        <v>13.061</v>
      </c>
      <c r="B866" s="47" t="s">
        <v>597</v>
      </c>
      <c r="C866" s="48" t="s">
        <v>13</v>
      </c>
      <c r="D866" s="49">
        <v>39</v>
      </c>
      <c r="E866" s="50"/>
      <c r="F866" s="50"/>
      <c r="G866" s="14"/>
    </row>
    <row r="867" spans="1:7" ht="15">
      <c r="A867" s="29">
        <f t="shared" si="18"/>
        <v>13.062</v>
      </c>
      <c r="B867" s="47" t="s">
        <v>332</v>
      </c>
      <c r="C867" s="48" t="s">
        <v>13</v>
      </c>
      <c r="D867" s="49">
        <f>8+3</f>
        <v>11</v>
      </c>
      <c r="E867" s="50"/>
      <c r="F867" s="50"/>
      <c r="G867" s="14"/>
    </row>
    <row r="868" spans="1:7" ht="15">
      <c r="A868" s="29">
        <f t="shared" si="18"/>
        <v>13.062999999999999</v>
      </c>
      <c r="B868" s="47" t="s">
        <v>401</v>
      </c>
      <c r="C868" s="48" t="s">
        <v>13</v>
      </c>
      <c r="D868" s="49">
        <f>4+3</f>
        <v>7</v>
      </c>
      <c r="E868" s="50"/>
      <c r="F868" s="50"/>
      <c r="G868" s="14"/>
    </row>
    <row r="869" spans="1:7" ht="15">
      <c r="A869" s="29">
        <f t="shared" si="18"/>
        <v>13.063999999999998</v>
      </c>
      <c r="B869" s="47" t="s">
        <v>611</v>
      </c>
      <c r="C869" s="48" t="s">
        <v>13</v>
      </c>
      <c r="D869" s="49">
        <f>8+2</f>
        <v>10</v>
      </c>
      <c r="E869" s="50"/>
      <c r="F869" s="50"/>
      <c r="G869" s="14"/>
    </row>
    <row r="870" spans="1:7" ht="15">
      <c r="A870" s="29">
        <f t="shared" si="18"/>
        <v>13.064999999999998</v>
      </c>
      <c r="B870" s="47" t="s">
        <v>617</v>
      </c>
      <c r="C870" s="48" t="s">
        <v>13</v>
      </c>
      <c r="D870" s="49">
        <f>4+4</f>
        <v>8</v>
      </c>
      <c r="E870" s="50"/>
      <c r="F870" s="50"/>
      <c r="G870" s="14"/>
    </row>
    <row r="871" spans="1:7" ht="15">
      <c r="A871" s="29">
        <f t="shared" si="18"/>
        <v>13.065999999999997</v>
      </c>
      <c r="B871" s="47" t="s">
        <v>329</v>
      </c>
      <c r="C871" s="48" t="s">
        <v>13</v>
      </c>
      <c r="D871" s="49">
        <f>+D866</f>
        <v>39</v>
      </c>
      <c r="E871" s="50"/>
      <c r="F871" s="50"/>
      <c r="G871" s="14"/>
    </row>
    <row r="872" spans="1:7" ht="15">
      <c r="A872" s="29">
        <f t="shared" si="18"/>
        <v>13.066999999999997</v>
      </c>
      <c r="B872" s="47" t="s">
        <v>334</v>
      </c>
      <c r="C872" s="48" t="s">
        <v>159</v>
      </c>
      <c r="D872" s="49">
        <v>5960.72</v>
      </c>
      <c r="E872" s="50"/>
      <c r="F872" s="50"/>
      <c r="G872" s="14"/>
    </row>
    <row r="873" spans="1:7" ht="15">
      <c r="A873" s="29"/>
      <c r="B873" s="21" t="s">
        <v>603</v>
      </c>
      <c r="C873" s="48"/>
      <c r="D873" s="49"/>
      <c r="E873" s="50"/>
      <c r="F873" s="50"/>
      <c r="G873" s="14"/>
    </row>
    <row r="874" spans="1:7" ht="15">
      <c r="A874" s="29">
        <v>13.066</v>
      </c>
      <c r="B874" s="47" t="s">
        <v>584</v>
      </c>
      <c r="C874" s="48" t="s">
        <v>11</v>
      </c>
      <c r="D874" s="49">
        <v>266.14</v>
      </c>
      <c r="E874" s="50"/>
      <c r="F874" s="50"/>
      <c r="G874" s="14"/>
    </row>
    <row r="875" spans="1:7" ht="15">
      <c r="A875" s="29"/>
      <c r="B875" s="21" t="s">
        <v>583</v>
      </c>
      <c r="C875" s="48"/>
      <c r="D875" s="49"/>
      <c r="E875" s="50"/>
      <c r="F875" s="50"/>
      <c r="G875" s="14"/>
    </row>
    <row r="876" spans="1:7" ht="15">
      <c r="A876" s="29">
        <v>13.067</v>
      </c>
      <c r="B876" s="47" t="s">
        <v>585</v>
      </c>
      <c r="C876" s="48" t="s">
        <v>11</v>
      </c>
      <c r="D876" s="49">
        <v>96</v>
      </c>
      <c r="E876" s="50"/>
      <c r="F876" s="50"/>
      <c r="G876" s="14"/>
    </row>
    <row r="877" spans="1:7" ht="15">
      <c r="A877" s="29">
        <f t="shared" si="18"/>
        <v>13.068</v>
      </c>
      <c r="B877" s="47" t="s">
        <v>586</v>
      </c>
      <c r="C877" s="48" t="s">
        <v>11</v>
      </c>
      <c r="D877" s="49">
        <v>61</v>
      </c>
      <c r="E877" s="50"/>
      <c r="F877" s="50"/>
      <c r="G877" s="14"/>
    </row>
    <row r="878" spans="1:7" ht="15">
      <c r="A878" s="29">
        <f>+A877+0.001</f>
        <v>13.068999999999999</v>
      </c>
      <c r="B878" s="47" t="s">
        <v>587</v>
      </c>
      <c r="C878" s="48" t="s">
        <v>10</v>
      </c>
      <c r="D878" s="49">
        <f>3.75*2.04*6</f>
        <v>45.900000000000006</v>
      </c>
      <c r="E878" s="50"/>
      <c r="F878" s="50"/>
      <c r="G878" s="14"/>
    </row>
    <row r="879" spans="1:7" ht="15">
      <c r="A879" s="29">
        <f>+A878+0.001</f>
        <v>13.069999999999999</v>
      </c>
      <c r="B879" s="47" t="s">
        <v>588</v>
      </c>
      <c r="C879" s="48" t="s">
        <v>11</v>
      </c>
      <c r="D879" s="49">
        <f>6.5*6</f>
        <v>39</v>
      </c>
      <c r="E879" s="50"/>
      <c r="F879" s="50"/>
      <c r="G879" s="14"/>
    </row>
    <row r="880" spans="1:7" ht="15">
      <c r="A880" s="29"/>
      <c r="B880" s="21" t="s">
        <v>339</v>
      </c>
      <c r="C880" s="48"/>
      <c r="D880" s="49"/>
      <c r="E880" s="50"/>
      <c r="F880" s="50"/>
      <c r="G880" s="14"/>
    </row>
    <row r="881" spans="1:7" ht="15">
      <c r="A881" s="29">
        <v>13.071</v>
      </c>
      <c r="B881" s="47" t="s">
        <v>342</v>
      </c>
      <c r="C881" s="48" t="s">
        <v>10</v>
      </c>
      <c r="D881" s="49">
        <f>2822.64*1.1</f>
        <v>3104.904</v>
      </c>
      <c r="E881" s="50"/>
      <c r="F881" s="50"/>
      <c r="G881" s="14"/>
    </row>
    <row r="882" spans="1:7" ht="15">
      <c r="A882" s="29">
        <f>+A881+0.001</f>
        <v>13.072</v>
      </c>
      <c r="B882" s="47" t="s">
        <v>340</v>
      </c>
      <c r="C882" s="48" t="s">
        <v>10</v>
      </c>
      <c r="D882" s="49">
        <f>+D881*0.586</f>
        <v>1819.473744</v>
      </c>
      <c r="E882" s="50"/>
      <c r="F882" s="50"/>
      <c r="G882" s="14"/>
    </row>
    <row r="883" spans="1:7" ht="15">
      <c r="A883" s="29">
        <f>+A882+0.001</f>
        <v>13.072999999999999</v>
      </c>
      <c r="B883" s="47" t="s">
        <v>341</v>
      </c>
      <c r="C883" s="48" t="s">
        <v>10</v>
      </c>
      <c r="D883" s="49">
        <f>+D881*0.412</f>
        <v>1279.220448</v>
      </c>
      <c r="E883" s="50"/>
      <c r="F883" s="50"/>
      <c r="G883" s="14"/>
    </row>
    <row r="884" spans="1:7" ht="15.75" thickBot="1">
      <c r="A884" s="29"/>
      <c r="B884" s="47"/>
      <c r="C884" s="48"/>
      <c r="D884" s="49"/>
      <c r="E884" s="50"/>
      <c r="F884" s="50"/>
      <c r="G884" s="14"/>
    </row>
    <row r="885" spans="1:7" ht="15.75" thickBot="1">
      <c r="A885" s="29"/>
      <c r="B885" s="6"/>
      <c r="C885" s="23"/>
      <c r="D885" s="10"/>
      <c r="E885" s="71"/>
      <c r="F885" s="72"/>
      <c r="G885" s="16">
        <f>SUM(F647:F883)</f>
        <v>0</v>
      </c>
    </row>
    <row r="886" spans="1:7" ht="15">
      <c r="A886" s="29"/>
      <c r="B886" s="6"/>
      <c r="C886" s="23"/>
      <c r="D886" s="10"/>
      <c r="E886" s="43"/>
      <c r="F886" s="43"/>
      <c r="G886" s="30"/>
    </row>
    <row r="887" ht="15.75" thickBot="1">
      <c r="A887" s="29"/>
    </row>
    <row r="888" spans="1:7" ht="16.5" thickBot="1">
      <c r="A888" s="28">
        <v>14</v>
      </c>
      <c r="B888" s="61" t="s">
        <v>604</v>
      </c>
      <c r="C888" s="23"/>
      <c r="D888" s="10"/>
      <c r="E888" s="13"/>
      <c r="F888" s="13"/>
      <c r="G888" s="14"/>
    </row>
    <row r="889" spans="1:7" ht="15">
      <c r="A889" s="29">
        <f>+A888+0.001</f>
        <v>14.001</v>
      </c>
      <c r="B889" s="6" t="s">
        <v>397</v>
      </c>
      <c r="C889" s="23" t="s">
        <v>10</v>
      </c>
      <c r="D889" s="10">
        <v>228</v>
      </c>
      <c r="E889" s="13"/>
      <c r="F889" s="13"/>
      <c r="G889" s="14"/>
    </row>
    <row r="890" spans="1:7" ht="15">
      <c r="A890" s="29"/>
      <c r="B890" s="21" t="s">
        <v>265</v>
      </c>
      <c r="C890" s="23"/>
      <c r="D890" s="10"/>
      <c r="E890" s="13"/>
      <c r="F890" s="13"/>
      <c r="G890" s="14"/>
    </row>
    <row r="891" spans="1:7" ht="15">
      <c r="A891" s="29">
        <v>14.002</v>
      </c>
      <c r="B891" s="6" t="s">
        <v>605</v>
      </c>
      <c r="C891" s="23" t="s">
        <v>15</v>
      </c>
      <c r="D891" s="10">
        <v>99.27</v>
      </c>
      <c r="E891" s="13"/>
      <c r="F891" s="13"/>
      <c r="G891" s="14"/>
    </row>
    <row r="892" spans="1:7" ht="15">
      <c r="A892" s="29"/>
      <c r="B892" s="21" t="s">
        <v>271</v>
      </c>
      <c r="C892" s="23"/>
      <c r="D892" s="10"/>
      <c r="E892" s="13"/>
      <c r="F892" s="13"/>
      <c r="G892" s="14"/>
    </row>
    <row r="893" spans="1:7" ht="15">
      <c r="A893" s="29">
        <v>14.003</v>
      </c>
      <c r="B893" s="6" t="s">
        <v>429</v>
      </c>
      <c r="C893" s="23" t="s">
        <v>0</v>
      </c>
      <c r="D893" s="10">
        <v>43.27</v>
      </c>
      <c r="E893" s="13"/>
      <c r="F893" s="13"/>
      <c r="G893" s="14"/>
    </row>
    <row r="894" spans="1:7" ht="15">
      <c r="A894" s="29">
        <f aca="true" t="shared" si="19" ref="A894:A954">+A893+0.001</f>
        <v>14.004</v>
      </c>
      <c r="B894" s="6" t="s">
        <v>606</v>
      </c>
      <c r="C894" s="23" t="s">
        <v>0</v>
      </c>
      <c r="D894" s="10">
        <v>0.6</v>
      </c>
      <c r="E894" s="13"/>
      <c r="F894" s="13"/>
      <c r="G894" s="14"/>
    </row>
    <row r="895" spans="1:7" ht="15">
      <c r="A895" s="29"/>
      <c r="B895" s="21" t="s">
        <v>388</v>
      </c>
      <c r="C895" s="23"/>
      <c r="D895" s="10"/>
      <c r="E895" s="13"/>
      <c r="F895" s="13"/>
      <c r="G895" s="14"/>
    </row>
    <row r="896" spans="1:7" ht="15">
      <c r="A896" s="29">
        <v>14.005</v>
      </c>
      <c r="B896" s="6" t="s">
        <v>278</v>
      </c>
      <c r="C896" s="23" t="s">
        <v>0</v>
      </c>
      <c r="D896" s="10">
        <v>0.2597</v>
      </c>
      <c r="E896" s="13"/>
      <c r="F896" s="13"/>
      <c r="G896" s="14"/>
    </row>
    <row r="897" spans="1:7" ht="15">
      <c r="A897" s="29">
        <f t="shared" si="19"/>
        <v>14.006</v>
      </c>
      <c r="B897" s="6" t="s">
        <v>430</v>
      </c>
      <c r="C897" s="23" t="s">
        <v>0</v>
      </c>
      <c r="D897" s="10">
        <v>6.36</v>
      </c>
      <c r="E897" s="13"/>
      <c r="F897" s="13"/>
      <c r="G897" s="14"/>
    </row>
    <row r="898" spans="1:7" ht="15">
      <c r="A898" s="29">
        <f t="shared" si="19"/>
        <v>14.007</v>
      </c>
      <c r="B898" s="6" t="s">
        <v>261</v>
      </c>
      <c r="C898" s="23" t="s">
        <v>0</v>
      </c>
      <c r="D898" s="10">
        <v>0.41552000000000006</v>
      </c>
      <c r="E898" s="13"/>
      <c r="F898" s="13"/>
      <c r="G898" s="14"/>
    </row>
    <row r="899" spans="1:7" ht="15">
      <c r="A899" s="29">
        <f t="shared" si="19"/>
        <v>14.008</v>
      </c>
      <c r="B899" s="6" t="s">
        <v>607</v>
      </c>
      <c r="C899" s="23" t="s">
        <v>0</v>
      </c>
      <c r="D899" s="10">
        <v>2.29808</v>
      </c>
      <c r="E899" s="13"/>
      <c r="F899" s="13"/>
      <c r="G899" s="14"/>
    </row>
    <row r="900" spans="1:7" ht="15">
      <c r="A900" s="29">
        <f t="shared" si="19"/>
        <v>14.008999999999999</v>
      </c>
      <c r="B900" s="6" t="s">
        <v>505</v>
      </c>
      <c r="C900" s="23" t="s">
        <v>0</v>
      </c>
      <c r="D900" s="10">
        <v>4.6428</v>
      </c>
      <c r="E900" s="13"/>
      <c r="F900" s="13"/>
      <c r="G900" s="14"/>
    </row>
    <row r="901" spans="1:7" ht="15">
      <c r="A901" s="29">
        <f t="shared" si="19"/>
        <v>14.009999999999998</v>
      </c>
      <c r="B901" s="6" t="s">
        <v>608</v>
      </c>
      <c r="C901" s="23" t="s">
        <v>0</v>
      </c>
      <c r="D901" s="10">
        <v>1.2826</v>
      </c>
      <c r="E901" s="13"/>
      <c r="F901" s="13"/>
      <c r="G901" s="14"/>
    </row>
    <row r="902" spans="1:7" ht="15">
      <c r="A902" s="29">
        <f t="shared" si="19"/>
        <v>14.010999999999997</v>
      </c>
      <c r="B902" s="6" t="s">
        <v>435</v>
      </c>
      <c r="C902" s="23" t="s">
        <v>0</v>
      </c>
      <c r="D902" s="10">
        <v>2.7878</v>
      </c>
      <c r="E902" s="13"/>
      <c r="F902" s="13"/>
      <c r="G902" s="14"/>
    </row>
    <row r="903" spans="1:7" ht="15">
      <c r="A903" s="29">
        <f t="shared" si="19"/>
        <v>14.011999999999997</v>
      </c>
      <c r="B903" s="6" t="s">
        <v>519</v>
      </c>
      <c r="C903" s="23" t="s">
        <v>0</v>
      </c>
      <c r="D903" s="10">
        <v>7.186800000000001</v>
      </c>
      <c r="E903" s="13"/>
      <c r="F903" s="13"/>
      <c r="G903" s="14"/>
    </row>
    <row r="904" spans="1:7" ht="15">
      <c r="A904" s="29">
        <f t="shared" si="19"/>
        <v>14.012999999999996</v>
      </c>
      <c r="B904" s="47" t="s">
        <v>402</v>
      </c>
      <c r="C904" s="48" t="s">
        <v>0</v>
      </c>
      <c r="D904" s="49">
        <v>12.062800000000001</v>
      </c>
      <c r="E904" s="50"/>
      <c r="F904" s="50"/>
      <c r="G904" s="14"/>
    </row>
    <row r="905" spans="1:7" ht="15">
      <c r="A905" s="29">
        <f t="shared" si="19"/>
        <v>14.013999999999996</v>
      </c>
      <c r="B905" s="47" t="s">
        <v>609</v>
      </c>
      <c r="C905" s="48" t="s">
        <v>0</v>
      </c>
      <c r="D905" s="49">
        <v>1.1024</v>
      </c>
      <c r="E905" s="50"/>
      <c r="F905" s="50"/>
      <c r="G905" s="14"/>
    </row>
    <row r="906" spans="1:7" ht="15">
      <c r="A906" s="29"/>
      <c r="B906" s="21" t="s">
        <v>288</v>
      </c>
      <c r="C906" s="48"/>
      <c r="D906" s="49"/>
      <c r="E906" s="50"/>
      <c r="F906" s="50"/>
      <c r="G906" s="14"/>
    </row>
    <row r="907" spans="1:7" ht="15">
      <c r="A907" s="29">
        <v>14.015</v>
      </c>
      <c r="B907" s="47" t="s">
        <v>289</v>
      </c>
      <c r="C907" s="48" t="s">
        <v>10</v>
      </c>
      <c r="D907" s="49">
        <v>100.52</v>
      </c>
      <c r="E907" s="50"/>
      <c r="F907" s="50"/>
      <c r="G907" s="14"/>
    </row>
    <row r="908" spans="1:7" ht="15">
      <c r="A908" s="29">
        <f t="shared" si="19"/>
        <v>14.016</v>
      </c>
      <c r="B908" s="47" t="s">
        <v>290</v>
      </c>
      <c r="C908" s="48" t="s">
        <v>11</v>
      </c>
      <c r="D908" s="49">
        <v>35</v>
      </c>
      <c r="E908" s="50"/>
      <c r="F908" s="50"/>
      <c r="G908" s="14"/>
    </row>
    <row r="909" spans="1:7" ht="15">
      <c r="A909" s="29">
        <f t="shared" si="19"/>
        <v>14.017</v>
      </c>
      <c r="B909" s="47" t="s">
        <v>291</v>
      </c>
      <c r="C909" s="48" t="s">
        <v>10</v>
      </c>
      <c r="D909" s="49">
        <v>100.52</v>
      </c>
      <c r="E909" s="50"/>
      <c r="F909" s="50"/>
      <c r="G909" s="14"/>
    </row>
    <row r="910" spans="1:7" ht="15">
      <c r="A910" s="29">
        <f t="shared" si="19"/>
        <v>14.017999999999999</v>
      </c>
      <c r="B910" s="47" t="s">
        <v>400</v>
      </c>
      <c r="C910" s="48" t="s">
        <v>11</v>
      </c>
      <c r="D910" s="49">
        <v>19.68</v>
      </c>
      <c r="E910" s="50"/>
      <c r="F910" s="50"/>
      <c r="G910" s="14"/>
    </row>
    <row r="911" spans="1:7" ht="15">
      <c r="A911" s="29"/>
      <c r="B911" s="21" t="s">
        <v>296</v>
      </c>
      <c r="C911" s="48"/>
      <c r="D911" s="49"/>
      <c r="E911" s="50"/>
      <c r="F911" s="50"/>
      <c r="G911" s="14"/>
    </row>
    <row r="912" spans="1:7" ht="15">
      <c r="A912" s="29">
        <v>14.019</v>
      </c>
      <c r="B912" s="47" t="s">
        <v>297</v>
      </c>
      <c r="C912" s="48" t="s">
        <v>10</v>
      </c>
      <c r="D912" s="49">
        <v>33.2</v>
      </c>
      <c r="E912" s="50"/>
      <c r="F912" s="50"/>
      <c r="G912" s="14"/>
    </row>
    <row r="913" spans="1:7" ht="15">
      <c r="A913" s="29">
        <f t="shared" si="19"/>
        <v>14.02</v>
      </c>
      <c r="B913" s="47" t="s">
        <v>298</v>
      </c>
      <c r="C913" s="48" t="s">
        <v>10</v>
      </c>
      <c r="D913" s="49">
        <v>119.85</v>
      </c>
      <c r="E913" s="13"/>
      <c r="F913" s="50"/>
      <c r="G913" s="14"/>
    </row>
    <row r="914" spans="1:7" ht="15">
      <c r="A914" s="29"/>
      <c r="B914" s="21" t="s">
        <v>292</v>
      </c>
      <c r="C914" s="48"/>
      <c r="D914" s="49"/>
      <c r="E914" s="50"/>
      <c r="F914" s="50"/>
      <c r="G914" s="14"/>
    </row>
    <row r="915" spans="1:7" ht="15">
      <c r="A915" s="29">
        <v>14.021</v>
      </c>
      <c r="B915" s="47" t="s">
        <v>262</v>
      </c>
      <c r="C915" s="48" t="s">
        <v>10</v>
      </c>
      <c r="D915" s="49">
        <f>SUM(D912:D914)*2</f>
        <v>306.1</v>
      </c>
      <c r="E915" s="50"/>
      <c r="F915" s="50"/>
      <c r="G915" s="14"/>
    </row>
    <row r="916" spans="1:7" ht="15">
      <c r="A916" s="29">
        <f t="shared" si="19"/>
        <v>14.022</v>
      </c>
      <c r="B916" s="47" t="s">
        <v>293</v>
      </c>
      <c r="C916" s="48" t="s">
        <v>10</v>
      </c>
      <c r="D916" s="49">
        <f>+D915</f>
        <v>306.1</v>
      </c>
      <c r="E916" s="50"/>
      <c r="F916" s="50"/>
      <c r="G916" s="14"/>
    </row>
    <row r="917" spans="1:7" ht="15">
      <c r="A917" s="29">
        <f t="shared" si="19"/>
        <v>14.023</v>
      </c>
      <c r="B917" s="51" t="s">
        <v>309</v>
      </c>
      <c r="C917" s="48" t="s">
        <v>11</v>
      </c>
      <c r="D917" s="49">
        <v>118</v>
      </c>
      <c r="E917" s="50"/>
      <c r="F917" s="50"/>
      <c r="G917" s="14"/>
    </row>
    <row r="918" spans="1:7" ht="15">
      <c r="A918" s="29">
        <f t="shared" si="19"/>
        <v>14.024</v>
      </c>
      <c r="B918" s="47" t="s">
        <v>294</v>
      </c>
      <c r="C918" s="48" t="s">
        <v>10</v>
      </c>
      <c r="D918" s="49">
        <v>46.62</v>
      </c>
      <c r="E918" s="50"/>
      <c r="F918" s="50"/>
      <c r="G918" s="14"/>
    </row>
    <row r="919" spans="1:7" ht="15">
      <c r="A919" s="29">
        <f t="shared" si="19"/>
        <v>14.024999999999999</v>
      </c>
      <c r="B919" s="47" t="s">
        <v>299</v>
      </c>
      <c r="C919" s="48" t="s">
        <v>10</v>
      </c>
      <c r="D919" s="49">
        <f>79.05*0.25</f>
        <v>19.7625</v>
      </c>
      <c r="E919" s="50"/>
      <c r="F919" s="50"/>
      <c r="G919" s="14"/>
    </row>
    <row r="920" spans="1:7" ht="15">
      <c r="A920" s="29">
        <f t="shared" si="19"/>
        <v>14.025999999999998</v>
      </c>
      <c r="B920" s="47" t="s">
        <v>582</v>
      </c>
      <c r="C920" s="48" t="s">
        <v>11</v>
      </c>
      <c r="D920" s="49">
        <v>158</v>
      </c>
      <c r="E920" s="50"/>
      <c r="F920" s="50"/>
      <c r="G920" s="14"/>
    </row>
    <row r="921" spans="1:7" ht="15">
      <c r="A921" s="29"/>
      <c r="B921" s="21" t="s">
        <v>316</v>
      </c>
      <c r="C921" s="48"/>
      <c r="D921" s="49"/>
      <c r="E921" s="50"/>
      <c r="F921" s="50"/>
      <c r="G921" s="14"/>
    </row>
    <row r="922" spans="1:7" ht="15">
      <c r="A922" s="29">
        <v>14.027</v>
      </c>
      <c r="B922" s="47" t="s">
        <v>317</v>
      </c>
      <c r="C922" s="48" t="s">
        <v>10</v>
      </c>
      <c r="D922" s="49">
        <v>141.5</v>
      </c>
      <c r="E922" s="50"/>
      <c r="F922" s="50"/>
      <c r="G922" s="14"/>
    </row>
    <row r="923" spans="1:7" ht="15">
      <c r="A923" s="29">
        <f t="shared" si="19"/>
        <v>14.027999999999999</v>
      </c>
      <c r="B923" s="47" t="s">
        <v>359</v>
      </c>
      <c r="C923" s="48" t="s">
        <v>11</v>
      </c>
      <c r="D923" s="49">
        <f>6.85*5</f>
        <v>34.25</v>
      </c>
      <c r="E923" s="50"/>
      <c r="F923" s="50"/>
      <c r="G923" s="14"/>
    </row>
    <row r="924" spans="1:7" ht="15">
      <c r="A924" s="29">
        <f t="shared" si="19"/>
        <v>14.028999999999998</v>
      </c>
      <c r="B924" s="47" t="s">
        <v>358</v>
      </c>
      <c r="C924" s="48" t="s">
        <v>11</v>
      </c>
      <c r="D924" s="49">
        <v>43.5</v>
      </c>
      <c r="E924" s="50"/>
      <c r="F924" s="50"/>
      <c r="G924" s="14"/>
    </row>
    <row r="925" spans="1:7" ht="15">
      <c r="A925" s="29">
        <f t="shared" si="19"/>
        <v>14.029999999999998</v>
      </c>
      <c r="B925" s="47" t="s">
        <v>320</v>
      </c>
      <c r="C925" s="48" t="s">
        <v>11</v>
      </c>
      <c r="D925" s="49">
        <f>9*4</f>
        <v>36</v>
      </c>
      <c r="E925" s="50"/>
      <c r="F925" s="50"/>
      <c r="G925" s="14"/>
    </row>
    <row r="926" spans="1:7" ht="15">
      <c r="A926" s="29">
        <f t="shared" si="19"/>
        <v>14.030999999999997</v>
      </c>
      <c r="B926" s="47" t="s">
        <v>318</v>
      </c>
      <c r="C926" s="48" t="s">
        <v>319</v>
      </c>
      <c r="D926" s="49">
        <v>1</v>
      </c>
      <c r="E926" s="50"/>
      <c r="F926" s="50"/>
      <c r="G926" s="14"/>
    </row>
    <row r="927" spans="1:7" ht="15">
      <c r="A927" s="29"/>
      <c r="B927" s="21" t="s">
        <v>322</v>
      </c>
      <c r="C927" s="48"/>
      <c r="D927" s="49"/>
      <c r="E927" s="50"/>
      <c r="F927" s="50"/>
      <c r="G927" s="14"/>
    </row>
    <row r="928" spans="1:7" ht="15">
      <c r="A928" s="29">
        <v>14.032</v>
      </c>
      <c r="B928" s="47" t="s">
        <v>325</v>
      </c>
      <c r="C928" s="48" t="s">
        <v>10</v>
      </c>
      <c r="D928" s="49">
        <v>174.58</v>
      </c>
      <c r="E928" s="50"/>
      <c r="F928" s="50"/>
      <c r="G928" s="14"/>
    </row>
    <row r="929" spans="1:7" ht="15">
      <c r="A929" s="29">
        <f t="shared" si="19"/>
        <v>14.033</v>
      </c>
      <c r="B929" s="47" t="s">
        <v>323</v>
      </c>
      <c r="C929" s="48" t="s">
        <v>11</v>
      </c>
      <c r="D929" s="49">
        <v>85</v>
      </c>
      <c r="E929" s="50"/>
      <c r="F929" s="50"/>
      <c r="G929" s="14"/>
    </row>
    <row r="930" spans="1:7" ht="15">
      <c r="A930" s="29">
        <f t="shared" si="19"/>
        <v>14.033999999999999</v>
      </c>
      <c r="B930" s="47" t="s">
        <v>326</v>
      </c>
      <c r="C930" s="48" t="s">
        <v>10</v>
      </c>
      <c r="D930" s="49">
        <f>+D928</f>
        <v>174.58</v>
      </c>
      <c r="E930" s="50"/>
      <c r="F930" s="50"/>
      <c r="G930" s="14"/>
    </row>
    <row r="931" spans="1:7" ht="15">
      <c r="A931" s="29">
        <f t="shared" si="19"/>
        <v>14.034999999999998</v>
      </c>
      <c r="B931" s="47" t="s">
        <v>324</v>
      </c>
      <c r="C931" s="48" t="s">
        <v>11</v>
      </c>
      <c r="D931" s="49">
        <v>79.14</v>
      </c>
      <c r="E931" s="50"/>
      <c r="F931" s="50"/>
      <c r="G931" s="14"/>
    </row>
    <row r="932" spans="1:7" ht="15">
      <c r="A932" s="29"/>
      <c r="B932" s="21" t="s">
        <v>363</v>
      </c>
      <c r="C932" s="48"/>
      <c r="D932" s="49"/>
      <c r="E932" s="50"/>
      <c r="F932" s="50"/>
      <c r="G932" s="14"/>
    </row>
    <row r="933" spans="1:7" ht="15">
      <c r="A933" s="29">
        <v>14.036</v>
      </c>
      <c r="B933" s="47" t="s">
        <v>599</v>
      </c>
      <c r="C933" s="48" t="s">
        <v>12</v>
      </c>
      <c r="D933" s="49">
        <v>1</v>
      </c>
      <c r="E933" s="50"/>
      <c r="F933" s="50"/>
      <c r="G933" s="14"/>
    </row>
    <row r="934" spans="1:7" ht="15">
      <c r="A934" s="29">
        <f t="shared" si="19"/>
        <v>14.036999999999999</v>
      </c>
      <c r="B934" s="47" t="s">
        <v>380</v>
      </c>
      <c r="C934" s="48" t="s">
        <v>12</v>
      </c>
      <c r="D934" s="49">
        <v>1</v>
      </c>
      <c r="E934" s="50"/>
      <c r="F934" s="50"/>
      <c r="G934" s="14"/>
    </row>
    <row r="935" spans="1:7" ht="15">
      <c r="A935" s="29">
        <f t="shared" si="19"/>
        <v>14.037999999999998</v>
      </c>
      <c r="B935" s="47" t="s">
        <v>381</v>
      </c>
      <c r="C935" s="48" t="s">
        <v>12</v>
      </c>
      <c r="D935" s="49">
        <v>1</v>
      </c>
      <c r="E935" s="50"/>
      <c r="F935" s="50"/>
      <c r="G935" s="14"/>
    </row>
    <row r="936" spans="1:7" ht="25.5">
      <c r="A936" s="29">
        <f t="shared" si="19"/>
        <v>14.038999999999998</v>
      </c>
      <c r="B936" s="47" t="s">
        <v>403</v>
      </c>
      <c r="C936" s="48" t="s">
        <v>27</v>
      </c>
      <c r="D936" s="49">
        <v>2</v>
      </c>
      <c r="E936" s="50"/>
      <c r="F936" s="50"/>
      <c r="G936" s="14"/>
    </row>
    <row r="937" spans="1:7" ht="15">
      <c r="A937" s="29">
        <f t="shared" si="19"/>
        <v>14.039999999999997</v>
      </c>
      <c r="B937" s="47" t="s">
        <v>368</v>
      </c>
      <c r="C937" s="48" t="s">
        <v>364</v>
      </c>
      <c r="D937" s="49">
        <f>1.45*2*3.28</f>
        <v>9.511999999999999</v>
      </c>
      <c r="E937" s="50"/>
      <c r="F937" s="50"/>
      <c r="G937" s="14"/>
    </row>
    <row r="938" spans="1:7" ht="25.5">
      <c r="A938" s="29">
        <f t="shared" si="19"/>
        <v>14.040999999999997</v>
      </c>
      <c r="B938" s="47" t="s">
        <v>371</v>
      </c>
      <c r="C938" s="48" t="s">
        <v>27</v>
      </c>
      <c r="D938" s="49">
        <v>2</v>
      </c>
      <c r="E938" s="50"/>
      <c r="F938" s="50"/>
      <c r="G938" s="14"/>
    </row>
    <row r="939" spans="1:7" ht="15">
      <c r="A939" s="29">
        <f t="shared" si="19"/>
        <v>14.041999999999996</v>
      </c>
      <c r="B939" s="47" t="s">
        <v>367</v>
      </c>
      <c r="C939" s="48" t="s">
        <v>27</v>
      </c>
      <c r="D939" s="49">
        <v>2</v>
      </c>
      <c r="E939" s="50"/>
      <c r="F939" s="50"/>
      <c r="G939" s="14"/>
    </row>
    <row r="940" spans="1:7" ht="25.5">
      <c r="A940" s="29">
        <f t="shared" si="19"/>
        <v>14.042999999999996</v>
      </c>
      <c r="B940" s="47" t="s">
        <v>366</v>
      </c>
      <c r="C940" s="48" t="s">
        <v>27</v>
      </c>
      <c r="D940" s="49">
        <v>2</v>
      </c>
      <c r="E940" s="50"/>
      <c r="F940" s="50"/>
      <c r="G940" s="14"/>
    </row>
    <row r="941" spans="1:7" ht="25.5">
      <c r="A941" s="29">
        <f t="shared" si="19"/>
        <v>14.043999999999995</v>
      </c>
      <c r="B941" s="47" t="s">
        <v>372</v>
      </c>
      <c r="C941" s="48" t="s">
        <v>27</v>
      </c>
      <c r="D941" s="49">
        <v>2</v>
      </c>
      <c r="E941" s="50"/>
      <c r="F941" s="50"/>
      <c r="G941" s="14"/>
    </row>
    <row r="942" spans="1:7" ht="15">
      <c r="A942" s="29">
        <f t="shared" si="19"/>
        <v>14.044999999999995</v>
      </c>
      <c r="B942" s="47" t="s">
        <v>365</v>
      </c>
      <c r="C942" s="48" t="s">
        <v>27</v>
      </c>
      <c r="D942" s="49">
        <v>2</v>
      </c>
      <c r="E942" s="50"/>
      <c r="F942" s="50"/>
      <c r="G942" s="14"/>
    </row>
    <row r="943" spans="1:7" ht="15">
      <c r="A943" s="29">
        <f t="shared" si="19"/>
        <v>14.045999999999994</v>
      </c>
      <c r="B943" s="47" t="s">
        <v>374</v>
      </c>
      <c r="C943" s="48" t="s">
        <v>27</v>
      </c>
      <c r="D943" s="49">
        <v>2</v>
      </c>
      <c r="E943" s="50"/>
      <c r="F943" s="50"/>
      <c r="G943" s="14"/>
    </row>
    <row r="944" spans="1:7" ht="15">
      <c r="A944" s="29">
        <f t="shared" si="19"/>
        <v>14.046999999999993</v>
      </c>
      <c r="B944" s="47" t="s">
        <v>375</v>
      </c>
      <c r="C944" s="48" t="s">
        <v>27</v>
      </c>
      <c r="D944" s="49">
        <v>2</v>
      </c>
      <c r="E944" s="50"/>
      <c r="F944" s="50"/>
      <c r="G944" s="14"/>
    </row>
    <row r="945" spans="1:7" ht="15">
      <c r="A945" s="29">
        <f t="shared" si="19"/>
        <v>14.047999999999993</v>
      </c>
      <c r="B945" s="47" t="s">
        <v>376</v>
      </c>
      <c r="C945" s="48" t="s">
        <v>27</v>
      </c>
      <c r="D945" s="49">
        <v>2</v>
      </c>
      <c r="E945" s="50"/>
      <c r="F945" s="50"/>
      <c r="G945" s="14"/>
    </row>
    <row r="946" spans="1:7" ht="15">
      <c r="A946" s="29">
        <f t="shared" si="19"/>
        <v>14.048999999999992</v>
      </c>
      <c r="B946" s="47" t="s">
        <v>377</v>
      </c>
      <c r="C946" s="48" t="s">
        <v>27</v>
      </c>
      <c r="D946" s="49">
        <v>2</v>
      </c>
      <c r="E946" s="50"/>
      <c r="F946" s="50"/>
      <c r="G946" s="14"/>
    </row>
    <row r="947" spans="1:7" ht="15">
      <c r="A947" s="29">
        <f t="shared" si="19"/>
        <v>14.049999999999992</v>
      </c>
      <c r="B947" s="47" t="s">
        <v>383</v>
      </c>
      <c r="C947" s="48" t="s">
        <v>13</v>
      </c>
      <c r="D947" s="49">
        <v>2</v>
      </c>
      <c r="E947" s="50"/>
      <c r="F947" s="50"/>
      <c r="G947" s="14"/>
    </row>
    <row r="948" spans="1:7" ht="15">
      <c r="A948" s="29">
        <f t="shared" si="19"/>
        <v>14.050999999999991</v>
      </c>
      <c r="B948" s="47" t="s">
        <v>610</v>
      </c>
      <c r="C948" s="48" t="s">
        <v>13</v>
      </c>
      <c r="D948" s="49">
        <v>2</v>
      </c>
      <c r="E948" s="50"/>
      <c r="F948" s="50"/>
      <c r="G948" s="14"/>
    </row>
    <row r="949" spans="1:7" ht="15">
      <c r="A949" s="29"/>
      <c r="B949" s="21" t="s">
        <v>327</v>
      </c>
      <c r="C949" s="48"/>
      <c r="D949" s="49"/>
      <c r="E949" s="50"/>
      <c r="F949" s="50"/>
      <c r="G949" s="14"/>
    </row>
    <row r="950" spans="1:7" ht="15">
      <c r="A950" s="29">
        <v>14.052</v>
      </c>
      <c r="B950" s="47" t="s">
        <v>330</v>
      </c>
      <c r="C950" s="48" t="s">
        <v>13</v>
      </c>
      <c r="D950" s="49">
        <v>4</v>
      </c>
      <c r="E950" s="50"/>
      <c r="F950" s="50"/>
      <c r="G950" s="14"/>
    </row>
    <row r="951" spans="1:7" ht="15">
      <c r="A951" s="29">
        <f t="shared" si="19"/>
        <v>14.052999999999999</v>
      </c>
      <c r="B951" s="47" t="s">
        <v>331</v>
      </c>
      <c r="C951" s="48" t="s">
        <v>13</v>
      </c>
      <c r="D951" s="49">
        <v>2</v>
      </c>
      <c r="E951" s="50"/>
      <c r="F951" s="50"/>
      <c r="G951" s="14"/>
    </row>
    <row r="952" spans="1:7" ht="15">
      <c r="A952" s="29">
        <f t="shared" si="19"/>
        <v>14.053999999999998</v>
      </c>
      <c r="B952" s="47" t="s">
        <v>332</v>
      </c>
      <c r="C952" s="48" t="s">
        <v>13</v>
      </c>
      <c r="D952" s="49">
        <v>2</v>
      </c>
      <c r="E952" s="50"/>
      <c r="F952" s="50"/>
      <c r="G952" s="14"/>
    </row>
    <row r="953" spans="1:7" ht="15">
      <c r="A953" s="29">
        <f t="shared" si="19"/>
        <v>14.054999999999998</v>
      </c>
      <c r="B953" s="47" t="s">
        <v>401</v>
      </c>
      <c r="C953" s="48" t="s">
        <v>13</v>
      </c>
      <c r="D953" s="49">
        <v>2</v>
      </c>
      <c r="E953" s="50"/>
      <c r="F953" s="50"/>
      <c r="G953" s="14"/>
    </row>
    <row r="954" spans="1:7" ht="15">
      <c r="A954" s="29">
        <f t="shared" si="19"/>
        <v>14.055999999999997</v>
      </c>
      <c r="B954" s="47" t="s">
        <v>611</v>
      </c>
      <c r="C954" s="48" t="s">
        <v>13</v>
      </c>
      <c r="D954" s="49">
        <v>2</v>
      </c>
      <c r="E954" s="50"/>
      <c r="F954" s="50"/>
      <c r="G954" s="14"/>
    </row>
    <row r="955" spans="1:7" ht="15">
      <c r="A955" s="29">
        <f>+A953+0.001</f>
        <v>14.055999999999997</v>
      </c>
      <c r="B955" s="47" t="s">
        <v>329</v>
      </c>
      <c r="C955" s="48" t="s">
        <v>13</v>
      </c>
      <c r="D955" s="49">
        <v>4</v>
      </c>
      <c r="E955" s="50"/>
      <c r="F955" s="50"/>
      <c r="G955" s="14"/>
    </row>
    <row r="956" spans="1:7" ht="15">
      <c r="A956" s="29">
        <f>+A955+0.001</f>
        <v>14.056999999999997</v>
      </c>
      <c r="B956" s="47" t="s">
        <v>334</v>
      </c>
      <c r="C956" s="48" t="s">
        <v>159</v>
      </c>
      <c r="D956" s="49">
        <f>56.7*10.76</f>
        <v>610.092</v>
      </c>
      <c r="E956" s="50"/>
      <c r="F956" s="50"/>
      <c r="G956" s="14"/>
    </row>
    <row r="957" spans="1:7" ht="15">
      <c r="A957" s="29"/>
      <c r="B957" s="21" t="s">
        <v>338</v>
      </c>
      <c r="C957" s="48"/>
      <c r="D957" s="49"/>
      <c r="E957" s="50"/>
      <c r="F957" s="50"/>
      <c r="G957" s="14"/>
    </row>
    <row r="958" spans="1:7" ht="15">
      <c r="A958" s="29">
        <v>14.058</v>
      </c>
      <c r="B958" s="47" t="s">
        <v>336</v>
      </c>
      <c r="C958" s="48" t="s">
        <v>11</v>
      </c>
      <c r="D958" s="49">
        <v>54.6</v>
      </c>
      <c r="E958" s="50"/>
      <c r="F958" s="50"/>
      <c r="G958" s="14"/>
    </row>
    <row r="959" spans="1:7" ht="15">
      <c r="A959" s="29">
        <f>+A958+0.001</f>
        <v>14.059</v>
      </c>
      <c r="B959" s="47" t="s">
        <v>335</v>
      </c>
      <c r="C959" s="48" t="s">
        <v>16</v>
      </c>
      <c r="D959" s="49">
        <f>+D960*0.3</f>
        <v>19.656</v>
      </c>
      <c r="E959" s="50"/>
      <c r="F959" s="50"/>
      <c r="G959" s="14"/>
    </row>
    <row r="960" spans="1:7" ht="15">
      <c r="A960" s="29">
        <f>+A959+0.001</f>
        <v>14.059999999999999</v>
      </c>
      <c r="B960" s="47" t="s">
        <v>337</v>
      </c>
      <c r="C960" s="48" t="s">
        <v>10</v>
      </c>
      <c r="D960" s="49">
        <f>54.6*1.2</f>
        <v>65.52</v>
      </c>
      <c r="E960" s="50"/>
      <c r="F960" s="50"/>
      <c r="G960" s="14"/>
    </row>
    <row r="961" spans="1:7" ht="15">
      <c r="A961" s="29"/>
      <c r="B961" s="21" t="s">
        <v>339</v>
      </c>
      <c r="C961" s="48"/>
      <c r="D961" s="49"/>
      <c r="E961" s="50"/>
      <c r="F961" s="50"/>
      <c r="G961" s="14"/>
    </row>
    <row r="962" spans="1:7" ht="15">
      <c r="A962" s="29">
        <v>14.061</v>
      </c>
      <c r="B962" s="47" t="s">
        <v>342</v>
      </c>
      <c r="C962" s="48" t="s">
        <v>10</v>
      </c>
      <c r="D962" s="49">
        <v>184.3</v>
      </c>
      <c r="E962" s="50"/>
      <c r="F962" s="50"/>
      <c r="G962" s="14"/>
    </row>
    <row r="963" spans="1:7" ht="15">
      <c r="A963" s="29">
        <f>+A962+0.001</f>
        <v>14.062</v>
      </c>
      <c r="B963" s="47" t="s">
        <v>340</v>
      </c>
      <c r="C963" s="48" t="s">
        <v>10</v>
      </c>
      <c r="D963" s="49">
        <f>+D962*0.55</f>
        <v>101.36500000000001</v>
      </c>
      <c r="E963" s="50"/>
      <c r="F963" s="50"/>
      <c r="G963" s="14"/>
    </row>
    <row r="964" spans="1:7" ht="15">
      <c r="A964" s="29">
        <f>+A963+0.001</f>
        <v>14.062999999999999</v>
      </c>
      <c r="B964" s="47" t="s">
        <v>341</v>
      </c>
      <c r="C964" s="48" t="s">
        <v>10</v>
      </c>
      <c r="D964" s="49">
        <f>+D962*0.45</f>
        <v>82.935</v>
      </c>
      <c r="E964" s="50"/>
      <c r="F964" s="50"/>
      <c r="G964" s="14"/>
    </row>
    <row r="965" spans="1:7" ht="15.75" thickBot="1">
      <c r="A965" s="29"/>
      <c r="B965" s="6"/>
      <c r="C965" s="23"/>
      <c r="D965" s="10"/>
      <c r="E965" s="13"/>
      <c r="F965" s="13"/>
      <c r="G965" s="14"/>
    </row>
    <row r="966" spans="1:7" ht="15.75" thickBot="1">
      <c r="A966" s="29"/>
      <c r="B966" s="6"/>
      <c r="C966" s="23"/>
      <c r="D966" s="10"/>
      <c r="E966" s="71" t="str">
        <f>+B888</f>
        <v>AULA INICIAL DOBLE </v>
      </c>
      <c r="F966" s="72"/>
      <c r="G966" s="16">
        <f>SUM(F888:F965)</f>
        <v>0</v>
      </c>
    </row>
    <row r="967" spans="1:2" ht="16.5" thickBot="1">
      <c r="A967" s="29">
        <v>15</v>
      </c>
      <c r="B967" s="61" t="s">
        <v>624</v>
      </c>
    </row>
    <row r="968" spans="1:4" ht="30">
      <c r="A968" s="29">
        <v>15.001</v>
      </c>
      <c r="B968" s="41" t="s">
        <v>625</v>
      </c>
      <c r="C968" s="44" t="s">
        <v>623</v>
      </c>
      <c r="D968" s="45">
        <v>4</v>
      </c>
    </row>
    <row r="969" spans="1:4" ht="30.75" thickBot="1">
      <c r="A969" s="29">
        <v>15.002</v>
      </c>
      <c r="B969" s="41" t="s">
        <v>773</v>
      </c>
      <c r="C969" s="44" t="s">
        <v>118</v>
      </c>
      <c r="D969" s="45">
        <f>22*4+(3+8+4)</f>
        <v>103</v>
      </c>
    </row>
    <row r="970" spans="1:7" ht="15.75" thickBot="1">
      <c r="A970" s="29"/>
      <c r="E970" s="71" t="str">
        <f>+B967</f>
        <v>MISCELANEOS (PARA MODULO DE AULAS)</v>
      </c>
      <c r="F970" s="72"/>
      <c r="G970" s="16">
        <f>SUM(F968:F969)</f>
        <v>0</v>
      </c>
    </row>
    <row r="971" ht="15">
      <c r="A971" s="29"/>
    </row>
    <row r="972" ht="15.75" thickBot="1">
      <c r="A972" s="29"/>
    </row>
    <row r="973" spans="1:2" ht="16.5" thickBot="1">
      <c r="A973" s="29"/>
      <c r="B973" s="61" t="s">
        <v>762</v>
      </c>
    </row>
    <row r="974" ht="15">
      <c r="A974" s="29"/>
    </row>
    <row r="975" spans="1:2" ht="15">
      <c r="A975" s="29">
        <v>16</v>
      </c>
      <c r="B975" s="21" t="s">
        <v>754</v>
      </c>
    </row>
    <row r="976" spans="1:4" ht="60">
      <c r="A976" s="29">
        <f>+A975+0.001</f>
        <v>16.001</v>
      </c>
      <c r="B976" s="41" t="s">
        <v>724</v>
      </c>
      <c r="C976" s="44" t="s">
        <v>177</v>
      </c>
      <c r="D976" s="45">
        <v>90</v>
      </c>
    </row>
    <row r="977" spans="1:4" ht="75">
      <c r="A977" s="29">
        <f aca="true" t="shared" si="20" ref="A977:A1009">+A976+0.001</f>
        <v>16.002000000000002</v>
      </c>
      <c r="B977" s="41" t="s">
        <v>725</v>
      </c>
      <c r="C977" s="44" t="s">
        <v>177</v>
      </c>
      <c r="D977" s="45">
        <v>12</v>
      </c>
    </row>
    <row r="978" spans="1:4" ht="30">
      <c r="A978" s="29">
        <f t="shared" si="20"/>
        <v>16.003000000000004</v>
      </c>
      <c r="B978" s="41" t="s">
        <v>726</v>
      </c>
      <c r="C978" s="44" t="s">
        <v>177</v>
      </c>
      <c r="D978" s="45">
        <f>+D976</f>
        <v>90</v>
      </c>
    </row>
    <row r="979" spans="1:4" ht="75">
      <c r="A979" s="29">
        <f t="shared" si="20"/>
        <v>16.004000000000005</v>
      </c>
      <c r="B979" s="41" t="s">
        <v>182</v>
      </c>
      <c r="C979" s="44" t="s">
        <v>177</v>
      </c>
      <c r="D979" s="45">
        <v>14</v>
      </c>
    </row>
    <row r="980" spans="1:4" ht="75">
      <c r="A980" s="29">
        <f t="shared" si="20"/>
        <v>16.005000000000006</v>
      </c>
      <c r="B980" s="41" t="s">
        <v>727</v>
      </c>
      <c r="C980" s="44" t="s">
        <v>177</v>
      </c>
      <c r="D980" s="45">
        <v>12</v>
      </c>
    </row>
    <row r="981" spans="1:4" ht="75">
      <c r="A981" s="29">
        <f t="shared" si="20"/>
        <v>16.006000000000007</v>
      </c>
      <c r="B981" s="41" t="s">
        <v>728</v>
      </c>
      <c r="C981" s="44" t="s">
        <v>177</v>
      </c>
      <c r="D981" s="45">
        <v>4</v>
      </c>
    </row>
    <row r="982" spans="1:4" ht="75">
      <c r="A982" s="29">
        <f t="shared" si="20"/>
        <v>16.00700000000001</v>
      </c>
      <c r="B982" s="41" t="s">
        <v>729</v>
      </c>
      <c r="C982" s="44" t="s">
        <v>177</v>
      </c>
      <c r="D982" s="45">
        <v>12</v>
      </c>
    </row>
    <row r="983" spans="1:4" ht="75">
      <c r="A983" s="29">
        <f t="shared" si="20"/>
        <v>16.00800000000001</v>
      </c>
      <c r="B983" s="41" t="s">
        <v>730</v>
      </c>
      <c r="C983" s="44" t="s">
        <v>177</v>
      </c>
      <c r="D983" s="45">
        <v>8</v>
      </c>
    </row>
    <row r="984" spans="1:4" ht="75">
      <c r="A984" s="29">
        <f>+A983+0.001</f>
        <v>16.00900000000001</v>
      </c>
      <c r="B984" s="41" t="s">
        <v>731</v>
      </c>
      <c r="C984" s="44" t="s">
        <v>177</v>
      </c>
      <c r="D984" s="45">
        <v>4</v>
      </c>
    </row>
    <row r="985" spans="1:4" ht="30">
      <c r="A985" s="29">
        <f t="shared" si="20"/>
        <v>16.010000000000012</v>
      </c>
      <c r="B985" s="41" t="s">
        <v>732</v>
      </c>
      <c r="C985" s="44" t="s">
        <v>177</v>
      </c>
      <c r="D985" s="45">
        <v>4</v>
      </c>
    </row>
    <row r="986" spans="1:4" ht="30">
      <c r="A986" s="29">
        <f t="shared" si="20"/>
        <v>16.011000000000013</v>
      </c>
      <c r="B986" s="41" t="s">
        <v>733</v>
      </c>
      <c r="C986" s="44" t="s">
        <v>177</v>
      </c>
      <c r="D986" s="45">
        <v>1</v>
      </c>
    </row>
    <row r="987" spans="1:4" ht="60">
      <c r="A987" s="29">
        <f t="shared" si="20"/>
        <v>16.012000000000015</v>
      </c>
      <c r="B987" s="41" t="s">
        <v>198</v>
      </c>
      <c r="C987" s="44" t="s">
        <v>177</v>
      </c>
      <c r="D987" s="45">
        <v>1</v>
      </c>
    </row>
    <row r="988" spans="1:4" ht="60">
      <c r="A988" s="29">
        <f t="shared" si="20"/>
        <v>16.013000000000016</v>
      </c>
      <c r="B988" s="41" t="s">
        <v>734</v>
      </c>
      <c r="C988" s="44" t="s">
        <v>200</v>
      </c>
      <c r="D988" s="45">
        <v>298.47999999999996</v>
      </c>
    </row>
    <row r="989" ht="15">
      <c r="A989" s="29"/>
    </row>
    <row r="990" ht="15">
      <c r="A990" s="29"/>
    </row>
    <row r="991" spans="1:2" ht="15">
      <c r="A991" s="29">
        <v>17</v>
      </c>
      <c r="B991" s="21" t="s">
        <v>735</v>
      </c>
    </row>
    <row r="992" spans="1:4" ht="15">
      <c r="A992" s="29">
        <f t="shared" si="20"/>
        <v>17.001</v>
      </c>
      <c r="B992" s="41" t="s">
        <v>736</v>
      </c>
      <c r="C992" s="44" t="s">
        <v>177</v>
      </c>
      <c r="D992" s="45">
        <v>2</v>
      </c>
    </row>
    <row r="993" spans="1:4" ht="15">
      <c r="A993" s="29">
        <f t="shared" si="20"/>
        <v>17.002000000000002</v>
      </c>
      <c r="B993" s="41" t="s">
        <v>737</v>
      </c>
      <c r="C993" s="44" t="s">
        <v>177</v>
      </c>
      <c r="D993" s="45">
        <v>1</v>
      </c>
    </row>
    <row r="994" spans="1:4" ht="15">
      <c r="A994" s="29">
        <f t="shared" si="20"/>
        <v>17.003000000000004</v>
      </c>
      <c r="B994" s="41" t="s">
        <v>738</v>
      </c>
      <c r="C994" s="44" t="s">
        <v>177</v>
      </c>
      <c r="D994" s="45">
        <v>1</v>
      </c>
    </row>
    <row r="995" spans="1:4" ht="15">
      <c r="A995" s="29">
        <f t="shared" si="20"/>
        <v>17.004000000000005</v>
      </c>
      <c r="B995" s="41" t="s">
        <v>739</v>
      </c>
      <c r="C995" s="44" t="s">
        <v>177</v>
      </c>
      <c r="D995" s="45">
        <v>1</v>
      </c>
    </row>
    <row r="996" spans="1:4" ht="15">
      <c r="A996" s="29">
        <f t="shared" si="20"/>
        <v>17.005000000000006</v>
      </c>
      <c r="B996" s="41" t="s">
        <v>740</v>
      </c>
      <c r="C996" s="44" t="s">
        <v>177</v>
      </c>
      <c r="D996" s="45">
        <v>1</v>
      </c>
    </row>
    <row r="997" spans="1:4" ht="15">
      <c r="A997" s="29">
        <f t="shared" si="20"/>
        <v>17.006000000000007</v>
      </c>
      <c r="B997" s="41" t="s">
        <v>741</v>
      </c>
      <c r="C997" s="44" t="s">
        <v>620</v>
      </c>
      <c r="D997" s="45">
        <v>174</v>
      </c>
    </row>
    <row r="998" spans="1:4" ht="15">
      <c r="A998" s="29">
        <f t="shared" si="20"/>
        <v>17.00700000000001</v>
      </c>
      <c r="B998" s="41" t="s">
        <v>742</v>
      </c>
      <c r="C998" s="44" t="s">
        <v>177</v>
      </c>
      <c r="D998" s="45">
        <v>1</v>
      </c>
    </row>
    <row r="999" spans="1:4" ht="15">
      <c r="A999" s="29">
        <f t="shared" si="20"/>
        <v>17.00800000000001</v>
      </c>
      <c r="B999" s="41" t="s">
        <v>743</v>
      </c>
      <c r="C999" s="44" t="s">
        <v>177</v>
      </c>
      <c r="D999" s="45">
        <v>1</v>
      </c>
    </row>
    <row r="1000" spans="1:4" ht="15">
      <c r="A1000" s="29">
        <f t="shared" si="20"/>
        <v>17.00900000000001</v>
      </c>
      <c r="B1000" s="41" t="s">
        <v>744</v>
      </c>
      <c r="C1000" s="44" t="s">
        <v>177</v>
      </c>
      <c r="D1000" s="45">
        <v>2</v>
      </c>
    </row>
    <row r="1001" spans="1:4" ht="15">
      <c r="A1001" s="29">
        <f t="shared" si="20"/>
        <v>17.010000000000012</v>
      </c>
      <c r="B1001" s="41" t="s">
        <v>745</v>
      </c>
      <c r="C1001" s="44" t="s">
        <v>177</v>
      </c>
      <c r="D1001" s="45">
        <v>1</v>
      </c>
    </row>
    <row r="1002" spans="1:4" ht="15">
      <c r="A1002" s="29">
        <f t="shared" si="20"/>
        <v>17.011000000000013</v>
      </c>
      <c r="B1002" s="41" t="s">
        <v>746</v>
      </c>
      <c r="C1002" s="44" t="s">
        <v>177</v>
      </c>
      <c r="D1002" s="45">
        <v>2</v>
      </c>
    </row>
    <row r="1003" spans="1:4" ht="15">
      <c r="A1003" s="29">
        <f t="shared" si="20"/>
        <v>17.012000000000015</v>
      </c>
      <c r="B1003" s="41" t="s">
        <v>747</v>
      </c>
      <c r="C1003" s="44" t="s">
        <v>677</v>
      </c>
      <c r="D1003" s="45">
        <v>22</v>
      </c>
    </row>
    <row r="1004" spans="1:4" ht="15">
      <c r="A1004" s="29">
        <f t="shared" si="20"/>
        <v>17.013000000000016</v>
      </c>
      <c r="B1004" s="41" t="s">
        <v>748</v>
      </c>
      <c r="C1004" s="44" t="s">
        <v>177</v>
      </c>
      <c r="D1004" s="45">
        <v>1</v>
      </c>
    </row>
    <row r="1005" spans="1:4" ht="15">
      <c r="A1005" s="29">
        <f t="shared" si="20"/>
        <v>17.014000000000017</v>
      </c>
      <c r="B1005" s="41" t="s">
        <v>749</v>
      </c>
      <c r="C1005" s="44" t="s">
        <v>177</v>
      </c>
      <c r="D1005" s="45">
        <v>1</v>
      </c>
    </row>
    <row r="1006" spans="1:4" ht="15">
      <c r="A1006" s="29">
        <f t="shared" si="20"/>
        <v>17.01500000000002</v>
      </c>
      <c r="B1006" s="41" t="s">
        <v>750</v>
      </c>
      <c r="C1006" s="44" t="s">
        <v>177</v>
      </c>
      <c r="D1006" s="45">
        <v>5</v>
      </c>
    </row>
    <row r="1007" spans="1:4" ht="30">
      <c r="A1007" s="29">
        <f t="shared" si="20"/>
        <v>17.01600000000002</v>
      </c>
      <c r="B1007" s="41" t="s">
        <v>751</v>
      </c>
      <c r="C1007" s="44" t="s">
        <v>177</v>
      </c>
      <c r="D1007" s="45">
        <v>1</v>
      </c>
    </row>
    <row r="1008" spans="1:4" ht="15">
      <c r="A1008" s="29">
        <f t="shared" si="20"/>
        <v>17.01700000000002</v>
      </c>
      <c r="B1008" s="41" t="s">
        <v>752</v>
      </c>
      <c r="C1008" s="44" t="s">
        <v>177</v>
      </c>
      <c r="D1008" s="45">
        <v>1</v>
      </c>
    </row>
    <row r="1009" spans="1:4" ht="15">
      <c r="A1009" s="29">
        <f t="shared" si="20"/>
        <v>17.018000000000022</v>
      </c>
      <c r="B1009" s="41" t="s">
        <v>753</v>
      </c>
      <c r="C1009" s="44" t="s">
        <v>177</v>
      </c>
      <c r="D1009" s="45">
        <v>1</v>
      </c>
    </row>
    <row r="1010" ht="15">
      <c r="A1010" s="29"/>
    </row>
    <row r="1011" spans="1:2" ht="15">
      <c r="A1011" s="29">
        <v>18</v>
      </c>
      <c r="B1011" s="21" t="s">
        <v>755</v>
      </c>
    </row>
    <row r="1012" spans="1:4" ht="60">
      <c r="A1012" s="29">
        <f>+A1011+0.001</f>
        <v>18.001</v>
      </c>
      <c r="B1012" s="41" t="s">
        <v>724</v>
      </c>
      <c r="C1012" s="44" t="s">
        <v>177</v>
      </c>
      <c r="D1012" s="45">
        <v>16</v>
      </c>
    </row>
    <row r="1013" spans="1:4" ht="75">
      <c r="A1013" s="29">
        <f aca="true" t="shared" si="21" ref="A1013:A1021">+A1012+0.001</f>
        <v>18.002000000000002</v>
      </c>
      <c r="B1013" s="41" t="s">
        <v>725</v>
      </c>
      <c r="C1013" s="44" t="s">
        <v>177</v>
      </c>
      <c r="D1013" s="45">
        <v>8</v>
      </c>
    </row>
    <row r="1014" spans="1:4" ht="30">
      <c r="A1014" s="29">
        <f t="shared" si="21"/>
        <v>18.003000000000004</v>
      </c>
      <c r="B1014" s="41" t="s">
        <v>726</v>
      </c>
      <c r="C1014" s="44" t="s">
        <v>177</v>
      </c>
      <c r="D1014" s="45">
        <v>16</v>
      </c>
    </row>
    <row r="1015" spans="1:4" ht="75">
      <c r="A1015" s="29">
        <f t="shared" si="21"/>
        <v>18.004000000000005</v>
      </c>
      <c r="B1015" s="41" t="s">
        <v>182</v>
      </c>
      <c r="C1015" s="44" t="s">
        <v>177</v>
      </c>
      <c r="D1015" s="45">
        <v>8</v>
      </c>
    </row>
    <row r="1016" spans="1:4" ht="75">
      <c r="A1016" s="29">
        <f t="shared" si="21"/>
        <v>18.005000000000006</v>
      </c>
      <c r="B1016" s="41" t="s">
        <v>727</v>
      </c>
      <c r="C1016" s="44" t="s">
        <v>177</v>
      </c>
      <c r="D1016" s="45">
        <v>10</v>
      </c>
    </row>
    <row r="1017" spans="1:4" ht="75">
      <c r="A1017" s="29">
        <f t="shared" si="21"/>
        <v>18.006000000000007</v>
      </c>
      <c r="B1017" s="41" t="s">
        <v>729</v>
      </c>
      <c r="C1017" s="44" t="s">
        <v>177</v>
      </c>
      <c r="D1017" s="45">
        <v>16</v>
      </c>
    </row>
    <row r="1018" spans="1:4" ht="75">
      <c r="A1018" s="29">
        <f t="shared" si="21"/>
        <v>18.00700000000001</v>
      </c>
      <c r="B1018" s="41" t="s">
        <v>730</v>
      </c>
      <c r="C1018" s="44" t="s">
        <v>177</v>
      </c>
      <c r="D1018" s="45">
        <v>4</v>
      </c>
    </row>
    <row r="1019" spans="1:4" ht="75">
      <c r="A1019" s="29">
        <f t="shared" si="21"/>
        <v>18.00800000000001</v>
      </c>
      <c r="B1019" s="41" t="s">
        <v>731</v>
      </c>
      <c r="C1019" s="44" t="s">
        <v>177</v>
      </c>
      <c r="D1019" s="45">
        <v>2</v>
      </c>
    </row>
    <row r="1020" spans="1:4" ht="30">
      <c r="A1020" s="29">
        <f t="shared" si="21"/>
        <v>18.00900000000001</v>
      </c>
      <c r="B1020" s="41" t="s">
        <v>759</v>
      </c>
      <c r="C1020" s="44" t="s">
        <v>177</v>
      </c>
      <c r="D1020" s="45">
        <v>1</v>
      </c>
    </row>
    <row r="1021" spans="1:4" ht="45">
      <c r="A1021" s="29">
        <f t="shared" si="21"/>
        <v>18.010000000000012</v>
      </c>
      <c r="B1021" s="41" t="s">
        <v>756</v>
      </c>
      <c r="C1021" s="44" t="s">
        <v>200</v>
      </c>
      <c r="D1021" s="45">
        <v>240</v>
      </c>
    </row>
    <row r="1022" spans="1:2" ht="15">
      <c r="A1022" s="29">
        <v>19</v>
      </c>
      <c r="B1022" s="21" t="s">
        <v>757</v>
      </c>
    </row>
    <row r="1023" spans="1:4" ht="60">
      <c r="A1023" s="29">
        <f>+A1022+0.001</f>
        <v>19.001</v>
      </c>
      <c r="B1023" s="41" t="s">
        <v>724</v>
      </c>
      <c r="C1023" s="44" t="s">
        <v>177</v>
      </c>
      <c r="D1023" s="45">
        <v>8</v>
      </c>
    </row>
    <row r="1024" spans="1:4" ht="75">
      <c r="A1024" s="29">
        <f aca="true" t="shared" si="22" ref="A1024:A1031">+A1023+0.001</f>
        <v>19.002000000000002</v>
      </c>
      <c r="B1024" s="41" t="s">
        <v>725</v>
      </c>
      <c r="C1024" s="44" t="s">
        <v>177</v>
      </c>
      <c r="D1024" s="45">
        <v>3</v>
      </c>
    </row>
    <row r="1025" spans="1:4" ht="30">
      <c r="A1025" s="29">
        <f t="shared" si="22"/>
        <v>19.003000000000004</v>
      </c>
      <c r="B1025" s="41" t="s">
        <v>726</v>
      </c>
      <c r="C1025" s="44" t="s">
        <v>177</v>
      </c>
      <c r="D1025" s="45">
        <f>+D1023</f>
        <v>8</v>
      </c>
    </row>
    <row r="1026" spans="1:4" ht="75">
      <c r="A1026" s="29">
        <f t="shared" si="22"/>
        <v>19.004000000000005</v>
      </c>
      <c r="B1026" s="41" t="s">
        <v>182</v>
      </c>
      <c r="C1026" s="44" t="s">
        <v>177</v>
      </c>
      <c r="D1026" s="45">
        <v>4</v>
      </c>
    </row>
    <row r="1027" spans="1:4" ht="75">
      <c r="A1027" s="29">
        <f t="shared" si="22"/>
        <v>19.005000000000006</v>
      </c>
      <c r="B1027" s="41" t="s">
        <v>727</v>
      </c>
      <c r="C1027" s="44" t="s">
        <v>177</v>
      </c>
      <c r="D1027" s="45">
        <v>2</v>
      </c>
    </row>
    <row r="1028" spans="1:4" ht="75">
      <c r="A1028" s="29">
        <f t="shared" si="22"/>
        <v>19.006000000000007</v>
      </c>
      <c r="B1028" s="41" t="s">
        <v>729</v>
      </c>
      <c r="C1028" s="44" t="s">
        <v>177</v>
      </c>
      <c r="D1028" s="45">
        <v>6</v>
      </c>
    </row>
    <row r="1029" spans="1:4" ht="75">
      <c r="A1029" s="29">
        <f t="shared" si="22"/>
        <v>19.00700000000001</v>
      </c>
      <c r="B1029" s="41" t="s">
        <v>730</v>
      </c>
      <c r="C1029" s="44" t="s">
        <v>177</v>
      </c>
      <c r="D1029" s="45">
        <v>6</v>
      </c>
    </row>
    <row r="1030" spans="1:4" ht="30">
      <c r="A1030" s="29">
        <f t="shared" si="22"/>
        <v>19.00800000000001</v>
      </c>
      <c r="B1030" s="41" t="s">
        <v>758</v>
      </c>
      <c r="C1030" s="44" t="s">
        <v>177</v>
      </c>
      <c r="D1030" s="45">
        <v>1</v>
      </c>
    </row>
    <row r="1031" spans="1:4" ht="45">
      <c r="A1031" s="29">
        <f t="shared" si="22"/>
        <v>19.00900000000001</v>
      </c>
      <c r="B1031" s="41" t="s">
        <v>756</v>
      </c>
      <c r="C1031" s="44" t="s">
        <v>200</v>
      </c>
      <c r="D1031" s="45">
        <v>116</v>
      </c>
    </row>
    <row r="1032" ht="15">
      <c r="A1032" s="29"/>
    </row>
    <row r="1033" spans="1:2" ht="15">
      <c r="A1033" s="29">
        <v>20</v>
      </c>
      <c r="B1033" s="21" t="s">
        <v>760</v>
      </c>
    </row>
    <row r="1034" spans="1:4" ht="60">
      <c r="A1034" s="29">
        <f>+A1033+0.001</f>
        <v>20.001</v>
      </c>
      <c r="B1034" s="41" t="s">
        <v>724</v>
      </c>
      <c r="C1034" s="44" t="s">
        <v>177</v>
      </c>
      <c r="D1034" s="45">
        <v>6</v>
      </c>
    </row>
    <row r="1035" spans="1:4" ht="75">
      <c r="A1035" s="29">
        <f aca="true" t="shared" si="23" ref="A1035:A1042">+A1034+0.001</f>
        <v>20.002000000000002</v>
      </c>
      <c r="B1035" s="41" t="s">
        <v>725</v>
      </c>
      <c r="C1035" s="44" t="s">
        <v>177</v>
      </c>
      <c r="D1035" s="45">
        <v>2</v>
      </c>
    </row>
    <row r="1036" spans="1:4" ht="30">
      <c r="A1036" s="29">
        <f t="shared" si="23"/>
        <v>20.003000000000004</v>
      </c>
      <c r="B1036" s="41" t="s">
        <v>726</v>
      </c>
      <c r="C1036" s="44" t="s">
        <v>177</v>
      </c>
      <c r="D1036" s="45">
        <f>+D1034</f>
        <v>6</v>
      </c>
    </row>
    <row r="1037" spans="1:4" ht="75">
      <c r="A1037" s="29">
        <f t="shared" si="23"/>
        <v>20.004000000000005</v>
      </c>
      <c r="B1037" s="41" t="s">
        <v>182</v>
      </c>
      <c r="C1037" s="44" t="s">
        <v>177</v>
      </c>
      <c r="D1037" s="45">
        <v>3</v>
      </c>
    </row>
    <row r="1038" spans="1:4" ht="75">
      <c r="A1038" s="29">
        <f t="shared" si="23"/>
        <v>20.005000000000006</v>
      </c>
      <c r="B1038" s="41" t="s">
        <v>727</v>
      </c>
      <c r="C1038" s="44" t="s">
        <v>177</v>
      </c>
      <c r="D1038" s="45">
        <v>1</v>
      </c>
    </row>
    <row r="1039" spans="1:4" ht="75">
      <c r="A1039" s="29">
        <f t="shared" si="23"/>
        <v>20.006000000000007</v>
      </c>
      <c r="B1039" s="41" t="s">
        <v>729</v>
      </c>
      <c r="C1039" s="44" t="s">
        <v>177</v>
      </c>
      <c r="D1039" s="45">
        <v>10</v>
      </c>
    </row>
    <row r="1040" spans="1:4" ht="75">
      <c r="A1040" s="29">
        <f t="shared" si="23"/>
        <v>20.00700000000001</v>
      </c>
      <c r="B1040" s="41" t="s">
        <v>730</v>
      </c>
      <c r="C1040" s="44" t="s">
        <v>177</v>
      </c>
      <c r="D1040" s="45">
        <v>6</v>
      </c>
    </row>
    <row r="1041" spans="1:4" ht="30">
      <c r="A1041" s="29">
        <f t="shared" si="23"/>
        <v>20.00800000000001</v>
      </c>
      <c r="B1041" s="41" t="s">
        <v>758</v>
      </c>
      <c r="C1041" s="44" t="s">
        <v>177</v>
      </c>
      <c r="D1041" s="45">
        <v>1</v>
      </c>
    </row>
    <row r="1042" spans="1:4" ht="45">
      <c r="A1042" s="29">
        <f t="shared" si="23"/>
        <v>20.00900000000001</v>
      </c>
      <c r="B1042" s="41" t="s">
        <v>756</v>
      </c>
      <c r="C1042" s="44" t="s">
        <v>200</v>
      </c>
      <c r="D1042" s="45">
        <v>132</v>
      </c>
    </row>
    <row r="1043" ht="15">
      <c r="A1043" s="29"/>
    </row>
    <row r="1044" spans="1:2" ht="15">
      <c r="A1044" s="29">
        <v>21</v>
      </c>
      <c r="B1044" s="21" t="s">
        <v>761</v>
      </c>
    </row>
    <row r="1045" spans="1:4" ht="60">
      <c r="A1045" s="29">
        <f>+A1044+0.001</f>
        <v>21.001</v>
      </c>
      <c r="B1045" s="41" t="s">
        <v>724</v>
      </c>
      <c r="C1045" s="44" t="s">
        <v>177</v>
      </c>
      <c r="D1045" s="45">
        <v>10</v>
      </c>
    </row>
    <row r="1046" spans="1:4" ht="75">
      <c r="A1046" s="29">
        <f aca="true" t="shared" si="24" ref="A1046:A1053">+A1045+0.001</f>
        <v>21.002000000000002</v>
      </c>
      <c r="B1046" s="41" t="s">
        <v>725</v>
      </c>
      <c r="C1046" s="44" t="s">
        <v>177</v>
      </c>
      <c r="D1046" s="45">
        <v>4</v>
      </c>
    </row>
    <row r="1047" spans="1:4" ht="30">
      <c r="A1047" s="29">
        <f t="shared" si="24"/>
        <v>21.003000000000004</v>
      </c>
      <c r="B1047" s="41" t="s">
        <v>726</v>
      </c>
      <c r="C1047" s="44" t="s">
        <v>177</v>
      </c>
      <c r="D1047" s="45">
        <f>+D1045</f>
        <v>10</v>
      </c>
    </row>
    <row r="1048" spans="1:4" ht="75">
      <c r="A1048" s="29">
        <f t="shared" si="24"/>
        <v>21.004000000000005</v>
      </c>
      <c r="B1048" s="41" t="s">
        <v>182</v>
      </c>
      <c r="C1048" s="44" t="s">
        <v>177</v>
      </c>
      <c r="D1048" s="45">
        <v>4</v>
      </c>
    </row>
    <row r="1049" spans="1:4" ht="75">
      <c r="A1049" s="29">
        <f t="shared" si="24"/>
        <v>21.005000000000006</v>
      </c>
      <c r="B1049" s="41" t="s">
        <v>727</v>
      </c>
      <c r="C1049" s="44" t="s">
        <v>177</v>
      </c>
      <c r="D1049" s="45">
        <v>1</v>
      </c>
    </row>
    <row r="1050" spans="1:4" ht="75">
      <c r="A1050" s="29">
        <f t="shared" si="24"/>
        <v>21.006000000000007</v>
      </c>
      <c r="B1050" s="41" t="s">
        <v>729</v>
      </c>
      <c r="C1050" s="44" t="s">
        <v>177</v>
      </c>
      <c r="D1050" s="45">
        <v>6</v>
      </c>
    </row>
    <row r="1051" spans="1:4" ht="75">
      <c r="A1051" s="29">
        <f t="shared" si="24"/>
        <v>21.00700000000001</v>
      </c>
      <c r="B1051" s="41" t="s">
        <v>730</v>
      </c>
      <c r="C1051" s="44" t="s">
        <v>177</v>
      </c>
      <c r="D1051" s="45">
        <v>8</v>
      </c>
    </row>
    <row r="1052" spans="1:4" ht="30">
      <c r="A1052" s="29">
        <f t="shared" si="24"/>
        <v>21.00800000000001</v>
      </c>
      <c r="B1052" s="41" t="s">
        <v>758</v>
      </c>
      <c r="C1052" s="44" t="s">
        <v>177</v>
      </c>
      <c r="D1052" s="45">
        <v>1</v>
      </c>
    </row>
    <row r="1053" spans="1:4" ht="45">
      <c r="A1053" s="29">
        <f t="shared" si="24"/>
        <v>21.00900000000001</v>
      </c>
      <c r="B1053" s="41" t="s">
        <v>756</v>
      </c>
      <c r="C1053" s="44" t="s">
        <v>11</v>
      </c>
      <c r="D1053" s="45">
        <v>86</v>
      </c>
    </row>
    <row r="1054" ht="15">
      <c r="A1054" s="29"/>
    </row>
    <row r="1055" spans="1:2" ht="15">
      <c r="A1055" s="29">
        <v>22</v>
      </c>
      <c r="B1055" s="21" t="s">
        <v>22</v>
      </c>
    </row>
    <row r="1056" spans="1:4" ht="30">
      <c r="A1056" s="29">
        <f aca="true" t="shared" si="25" ref="A1056:A1063">+A1055+0.001</f>
        <v>22.001</v>
      </c>
      <c r="B1056" s="41" t="s">
        <v>766</v>
      </c>
      <c r="C1056" s="44" t="s">
        <v>13</v>
      </c>
      <c r="D1056" s="45">
        <v>4</v>
      </c>
    </row>
    <row r="1057" spans="1:4" ht="30">
      <c r="A1057" s="29">
        <f t="shared" si="25"/>
        <v>22.002000000000002</v>
      </c>
      <c r="B1057" s="41" t="s">
        <v>763</v>
      </c>
      <c r="C1057" s="44" t="s">
        <v>13</v>
      </c>
      <c r="D1057" s="45">
        <v>12</v>
      </c>
    </row>
    <row r="1058" spans="1:4" ht="60">
      <c r="A1058" s="29">
        <f t="shared" si="25"/>
        <v>22.003000000000004</v>
      </c>
      <c r="B1058" s="41" t="s">
        <v>768</v>
      </c>
      <c r="C1058" s="44" t="s">
        <v>13</v>
      </c>
      <c r="D1058" s="45">
        <v>14</v>
      </c>
    </row>
    <row r="1059" spans="1:4" ht="30">
      <c r="A1059" s="29">
        <f t="shared" si="25"/>
        <v>22.004000000000005</v>
      </c>
      <c r="B1059" s="41" t="s">
        <v>769</v>
      </c>
      <c r="C1059" s="44" t="s">
        <v>177</v>
      </c>
      <c r="D1059" s="45">
        <f>+D1058</f>
        <v>14</v>
      </c>
    </row>
    <row r="1060" spans="1:4" ht="30">
      <c r="A1060" s="29">
        <f t="shared" si="25"/>
        <v>22.005000000000006</v>
      </c>
      <c r="B1060" s="41" t="s">
        <v>764</v>
      </c>
      <c r="C1060" s="44" t="s">
        <v>13</v>
      </c>
      <c r="D1060" s="45">
        <v>6</v>
      </c>
    </row>
    <row r="1061" spans="1:4" ht="45">
      <c r="A1061" s="29">
        <f t="shared" si="25"/>
        <v>22.006000000000007</v>
      </c>
      <c r="B1061" s="41" t="s">
        <v>765</v>
      </c>
      <c r="C1061" s="44" t="s">
        <v>11</v>
      </c>
      <c r="D1061" s="45">
        <v>68</v>
      </c>
    </row>
    <row r="1062" spans="1:4" ht="45">
      <c r="A1062" s="29">
        <f t="shared" si="25"/>
        <v>22.00700000000001</v>
      </c>
      <c r="B1062" s="41" t="s">
        <v>765</v>
      </c>
      <c r="C1062" s="44" t="s">
        <v>11</v>
      </c>
      <c r="D1062" s="45">
        <v>63</v>
      </c>
    </row>
    <row r="1063" spans="1:4" ht="15">
      <c r="A1063" s="29">
        <f t="shared" si="25"/>
        <v>22.00800000000001</v>
      </c>
      <c r="B1063" s="41" t="s">
        <v>767</v>
      </c>
      <c r="C1063" s="44" t="s">
        <v>12</v>
      </c>
      <c r="D1063" s="45">
        <v>1</v>
      </c>
    </row>
    <row r="1064" ht="15.75" thickBot="1">
      <c r="A1064" s="29"/>
    </row>
    <row r="1065" spans="1:7" ht="15.75" thickBot="1">
      <c r="A1065" s="29"/>
      <c r="C1065" s="68" t="s">
        <v>770</v>
      </c>
      <c r="D1065" s="69"/>
      <c r="E1065" s="69"/>
      <c r="F1065" s="70"/>
      <c r="G1065" s="63">
        <f>SUM(F976:F1064)</f>
        <v>0</v>
      </c>
    </row>
    <row r="1066" ht="15.75" thickBot="1">
      <c r="A1066" s="29"/>
    </row>
    <row r="1067" spans="1:7" ht="18.75" customHeight="1" thickBot="1">
      <c r="A1067" s="29"/>
      <c r="C1067" s="68" t="s">
        <v>415</v>
      </c>
      <c r="D1067" s="69"/>
      <c r="E1067" s="69"/>
      <c r="F1067" s="70"/>
      <c r="G1067" s="63">
        <f>SUM(G24:G1066)</f>
        <v>0</v>
      </c>
    </row>
    <row r="1068" spans="1:7" ht="18.75" customHeight="1" thickBot="1">
      <c r="A1068" s="29"/>
      <c r="C1068" s="30"/>
      <c r="D1068" s="30"/>
      <c r="E1068" s="30"/>
      <c r="F1068" s="30"/>
      <c r="G1068" s="30"/>
    </row>
    <row r="1069" ht="15.75" thickBot="1">
      <c r="B1069" s="11" t="s">
        <v>416</v>
      </c>
    </row>
    <row r="1070" spans="2:7" ht="15">
      <c r="B1070" s="41" t="s">
        <v>417</v>
      </c>
      <c r="C1070" s="46"/>
      <c r="G1070" s="43">
        <f>+G1067*C1070</f>
        <v>0</v>
      </c>
    </row>
    <row r="1071" spans="2:7" ht="15">
      <c r="B1071" s="41" t="s">
        <v>418</v>
      </c>
      <c r="C1071" s="46"/>
      <c r="G1071" s="43">
        <f>+G1067*C1071</f>
        <v>0</v>
      </c>
    </row>
    <row r="1072" spans="2:7" ht="15">
      <c r="B1072" s="41" t="s">
        <v>419</v>
      </c>
      <c r="C1072" s="46"/>
      <c r="G1072" s="43">
        <f>+G1067*C1072</f>
        <v>0</v>
      </c>
    </row>
    <row r="1073" spans="2:7" ht="15">
      <c r="B1073" s="41" t="s">
        <v>420</v>
      </c>
      <c r="C1073" s="46">
        <v>0.045</v>
      </c>
      <c r="G1073" s="43">
        <f>+G1067*C1073</f>
        <v>0</v>
      </c>
    </row>
    <row r="1074" spans="2:7" ht="15">
      <c r="B1074" s="41" t="s">
        <v>421</v>
      </c>
      <c r="C1074" s="46">
        <v>0.05</v>
      </c>
      <c r="G1074" s="43">
        <f>+G1067*C1074</f>
        <v>0</v>
      </c>
    </row>
    <row r="1075" spans="2:7" ht="15">
      <c r="B1075" s="41" t="s">
        <v>422</v>
      </c>
      <c r="C1075" s="46">
        <v>0.001</v>
      </c>
      <c r="G1075" s="43">
        <f>+G1067*C1075</f>
        <v>0</v>
      </c>
    </row>
    <row r="1076" ht="15">
      <c r="C1076" s="46"/>
    </row>
    <row r="1077" spans="2:7" ht="15">
      <c r="B1077" s="41" t="s">
        <v>423</v>
      </c>
      <c r="C1077" s="46">
        <v>0.18</v>
      </c>
      <c r="G1077" s="43">
        <f>+G1070*C1077</f>
        <v>0</v>
      </c>
    </row>
    <row r="1078" ht="15.75" thickBot="1"/>
    <row r="1079" spans="3:7" ht="18" customHeight="1" thickBot="1">
      <c r="C1079" s="73" t="s">
        <v>424</v>
      </c>
      <c r="D1079" s="74"/>
      <c r="E1079" s="74"/>
      <c r="F1079" s="75"/>
      <c r="G1079" s="64">
        <f>SUM(G1069:G1077)</f>
        <v>0</v>
      </c>
    </row>
    <row r="1082" ht="15.75" thickBot="1"/>
    <row r="1083" spans="3:7" ht="25.5" customHeight="1" thickBot="1">
      <c r="C1083" s="76" t="s">
        <v>425</v>
      </c>
      <c r="D1083" s="77"/>
      <c r="E1083" s="77"/>
      <c r="F1083" s="78"/>
      <c r="G1083" s="65">
        <f>+G1067+G1079</f>
        <v>0</v>
      </c>
    </row>
  </sheetData>
  <sheetProtection/>
  <mergeCells count="39">
    <mergeCell ref="E966:F966"/>
    <mergeCell ref="E970:F970"/>
    <mergeCell ref="C1067:F1067"/>
    <mergeCell ref="C1079:F1079"/>
    <mergeCell ref="C1083:F1083"/>
    <mergeCell ref="E885:F885"/>
    <mergeCell ref="C1065:F1065"/>
    <mergeCell ref="E167:F167"/>
    <mergeCell ref="E349:F349"/>
    <mergeCell ref="E458:F458"/>
    <mergeCell ref="E543:F543"/>
    <mergeCell ref="E625:F625"/>
    <mergeCell ref="E645:F645"/>
    <mergeCell ref="E40:F40"/>
    <mergeCell ref="E72:F72"/>
    <mergeCell ref="E87:F87"/>
    <mergeCell ref="E108:F108"/>
    <mergeCell ref="E134:F134"/>
    <mergeCell ref="E157:F157"/>
    <mergeCell ref="A17:G17"/>
    <mergeCell ref="A18:G18"/>
    <mergeCell ref="A19:G19"/>
    <mergeCell ref="A20:G20"/>
    <mergeCell ref="A21:G21"/>
    <mergeCell ref="E29:F29"/>
    <mergeCell ref="A8:G8"/>
    <mergeCell ref="A9:G9"/>
    <mergeCell ref="A11:G11"/>
    <mergeCell ref="F12:G12"/>
    <mergeCell ref="A14:A15"/>
    <mergeCell ref="B14:B15"/>
    <mergeCell ref="C14:C15"/>
    <mergeCell ref="D14:D15"/>
    <mergeCell ref="A1:G1"/>
    <mergeCell ref="A2:G2"/>
    <mergeCell ref="A3:G3"/>
    <mergeCell ref="A4:G4"/>
    <mergeCell ref="A5:G5"/>
    <mergeCell ref="A7:G7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1060"/>
  <sheetViews>
    <sheetView showGridLines="0" tabSelected="1" zoomScalePageLayoutView="0" workbookViewId="0" topLeftCell="A28">
      <selection activeCell="F12" sqref="F12:G12"/>
    </sheetView>
  </sheetViews>
  <sheetFormatPr defaultColWidth="11.421875" defaultRowHeight="15"/>
  <cols>
    <col min="1" max="1" width="6.421875" style="40" bestFit="1" customWidth="1"/>
    <col min="2" max="2" width="62.28125" style="41" customWidth="1"/>
    <col min="3" max="3" width="9.421875" style="44" customWidth="1"/>
    <col min="4" max="4" width="12.28125" style="45" customWidth="1"/>
    <col min="5" max="5" width="13.140625" style="45" customWidth="1"/>
    <col min="6" max="6" width="15.28125" style="45" customWidth="1"/>
    <col min="7" max="7" width="18.8515625" style="43" customWidth="1"/>
    <col min="8" max="8" width="11.421875" style="30" customWidth="1"/>
    <col min="9" max="16384" width="11.421875" style="30" customWidth="1"/>
  </cols>
  <sheetData>
    <row r="1" spans="1:7" ht="21">
      <c r="A1" s="107" t="s">
        <v>301</v>
      </c>
      <c r="B1" s="108"/>
      <c r="C1" s="108"/>
      <c r="D1" s="108"/>
      <c r="E1" s="108"/>
      <c r="F1" s="108"/>
      <c r="G1" s="109"/>
    </row>
    <row r="2" spans="1:7" ht="18.75">
      <c r="A2" s="119" t="s">
        <v>56</v>
      </c>
      <c r="B2" s="120"/>
      <c r="C2" s="120"/>
      <c r="D2" s="120"/>
      <c r="E2" s="120"/>
      <c r="F2" s="120"/>
      <c r="G2" s="121"/>
    </row>
    <row r="3" spans="1:7" ht="15.75">
      <c r="A3" s="110" t="s">
        <v>57</v>
      </c>
      <c r="B3" s="111"/>
      <c r="C3" s="111"/>
      <c r="D3" s="111"/>
      <c r="E3" s="111"/>
      <c r="F3" s="111"/>
      <c r="G3" s="112"/>
    </row>
    <row r="4" spans="1:7" ht="21">
      <c r="A4" s="116" t="s">
        <v>302</v>
      </c>
      <c r="B4" s="117"/>
      <c r="C4" s="117"/>
      <c r="D4" s="117"/>
      <c r="E4" s="117"/>
      <c r="F4" s="117"/>
      <c r="G4" s="118"/>
    </row>
    <row r="5" spans="1:7" ht="15.75">
      <c r="A5" s="104" t="s">
        <v>393</v>
      </c>
      <c r="B5" s="105"/>
      <c r="C5" s="105"/>
      <c r="D5" s="105"/>
      <c r="E5" s="105"/>
      <c r="F5" s="105"/>
      <c r="G5" s="106"/>
    </row>
    <row r="6" spans="1:7" ht="15">
      <c r="A6" s="31"/>
      <c r="B6" s="32"/>
      <c r="C6" s="33"/>
      <c r="D6" s="34"/>
      <c r="E6" s="34"/>
      <c r="F6" s="34"/>
      <c r="G6" s="35"/>
    </row>
    <row r="7" spans="1:7" ht="18.75">
      <c r="A7" s="113" t="s">
        <v>450</v>
      </c>
      <c r="B7" s="114"/>
      <c r="C7" s="114"/>
      <c r="D7" s="114"/>
      <c r="E7" s="114"/>
      <c r="F7" s="114"/>
      <c r="G7" s="115"/>
    </row>
    <row r="8" spans="1:7" ht="15">
      <c r="A8" s="122" t="s">
        <v>303</v>
      </c>
      <c r="B8" s="123"/>
      <c r="C8" s="123"/>
      <c r="D8" s="123"/>
      <c r="E8" s="123"/>
      <c r="F8" s="123"/>
      <c r="G8" s="124"/>
    </row>
    <row r="9" spans="1:7" ht="15">
      <c r="A9" s="122" t="s">
        <v>17</v>
      </c>
      <c r="B9" s="123"/>
      <c r="C9" s="123"/>
      <c r="D9" s="123"/>
      <c r="E9" s="123"/>
      <c r="F9" s="123"/>
      <c r="G9" s="124"/>
    </row>
    <row r="10" spans="1:7" ht="15">
      <c r="A10" s="31"/>
      <c r="B10" s="32"/>
      <c r="C10" s="33"/>
      <c r="D10" s="34"/>
      <c r="E10" s="34"/>
      <c r="F10" s="34"/>
      <c r="G10" s="35"/>
    </row>
    <row r="11" spans="1:7" ht="23.25">
      <c r="A11" s="79" t="s">
        <v>451</v>
      </c>
      <c r="B11" s="80"/>
      <c r="C11" s="80"/>
      <c r="D11" s="80"/>
      <c r="E11" s="80"/>
      <c r="F11" s="80"/>
      <c r="G11" s="81"/>
    </row>
    <row r="12" spans="1:7" ht="15.75" thickBot="1">
      <c r="A12" s="36"/>
      <c r="B12" s="37"/>
      <c r="C12" s="38"/>
      <c r="D12" s="39"/>
      <c r="E12" s="39"/>
      <c r="F12" s="82"/>
      <c r="G12" s="83"/>
    </row>
    <row r="13" spans="3:6" ht="15.75" thickBot="1">
      <c r="C13" s="42"/>
      <c r="D13" s="43"/>
      <c r="E13" s="43"/>
      <c r="F13" s="43"/>
    </row>
    <row r="14" spans="1:7" s="42" customFormat="1" ht="15">
      <c r="A14" s="100" t="s">
        <v>1</v>
      </c>
      <c r="B14" s="102" t="s">
        <v>2</v>
      </c>
      <c r="C14" s="102" t="s">
        <v>3</v>
      </c>
      <c r="D14" s="86" t="s">
        <v>4</v>
      </c>
      <c r="E14" s="1" t="s">
        <v>5</v>
      </c>
      <c r="F14" s="1" t="s">
        <v>6</v>
      </c>
      <c r="G14" s="2" t="s">
        <v>7</v>
      </c>
    </row>
    <row r="15" spans="1:7" s="42" customFormat="1" ht="15.75" thickBot="1">
      <c r="A15" s="101"/>
      <c r="B15" s="103"/>
      <c r="C15" s="103"/>
      <c r="D15" s="87"/>
      <c r="E15" s="3" t="s">
        <v>8</v>
      </c>
      <c r="F15" s="3" t="s">
        <v>9</v>
      </c>
      <c r="G15" s="4" t="s">
        <v>9</v>
      </c>
    </row>
    <row r="16" spans="1:7" s="5" customFormat="1" ht="13.5" thickBot="1">
      <c r="A16" s="27"/>
      <c r="B16" s="6"/>
      <c r="C16" s="7"/>
      <c r="D16" s="8"/>
      <c r="E16" s="8"/>
      <c r="F16" s="9"/>
      <c r="G16" s="10"/>
    </row>
    <row r="17" spans="1:7" s="5" customFormat="1" ht="20.25" customHeight="1">
      <c r="A17" s="88" t="s">
        <v>392</v>
      </c>
      <c r="B17" s="89"/>
      <c r="C17" s="89"/>
      <c r="D17" s="89"/>
      <c r="E17" s="89"/>
      <c r="F17" s="89"/>
      <c r="G17" s="90"/>
    </row>
    <row r="18" spans="1:7" s="5" customFormat="1" ht="20.25" customHeight="1">
      <c r="A18" s="97" t="s">
        <v>391</v>
      </c>
      <c r="B18" s="98"/>
      <c r="C18" s="98"/>
      <c r="D18" s="98"/>
      <c r="E18" s="98"/>
      <c r="F18" s="98"/>
      <c r="G18" s="99"/>
    </row>
    <row r="19" spans="1:7" s="5" customFormat="1" ht="21" customHeight="1">
      <c r="A19" s="91" t="s">
        <v>389</v>
      </c>
      <c r="B19" s="92"/>
      <c r="C19" s="92"/>
      <c r="D19" s="92"/>
      <c r="E19" s="92"/>
      <c r="F19" s="92"/>
      <c r="G19" s="93"/>
    </row>
    <row r="20" spans="1:7" s="5" customFormat="1" ht="25.5" customHeight="1">
      <c r="A20" s="91" t="s">
        <v>390</v>
      </c>
      <c r="B20" s="92"/>
      <c r="C20" s="92"/>
      <c r="D20" s="92"/>
      <c r="E20" s="92"/>
      <c r="F20" s="92"/>
      <c r="G20" s="93"/>
    </row>
    <row r="21" spans="1:7" s="5" customFormat="1" ht="25.5" customHeight="1" thickBot="1">
      <c r="A21" s="94"/>
      <c r="B21" s="95"/>
      <c r="C21" s="95"/>
      <c r="D21" s="95"/>
      <c r="E21" s="95"/>
      <c r="F21" s="95"/>
      <c r="G21" s="96"/>
    </row>
    <row r="22" spans="1:7" s="5" customFormat="1" ht="13.5" thickBot="1">
      <c r="A22" s="27"/>
      <c r="B22" s="6"/>
      <c r="C22" s="7"/>
      <c r="D22" s="8"/>
      <c r="E22" s="8"/>
      <c r="F22" s="9"/>
      <c r="G22" s="10"/>
    </row>
    <row r="23" spans="1:7" s="5" customFormat="1" ht="13.5" thickBot="1">
      <c r="A23" s="28">
        <v>1</v>
      </c>
      <c r="B23" s="11" t="s">
        <v>14</v>
      </c>
      <c r="C23" s="12"/>
      <c r="D23" s="13"/>
      <c r="E23" s="13"/>
      <c r="F23" s="13"/>
      <c r="G23" s="14"/>
    </row>
    <row r="24" spans="1:7" s="5" customFormat="1" ht="12.75">
      <c r="A24" s="29">
        <f>+A23+0.01</f>
        <v>1.01</v>
      </c>
      <c r="B24" s="15" t="s">
        <v>18</v>
      </c>
      <c r="C24" s="12" t="s">
        <v>12</v>
      </c>
      <c r="D24" s="13">
        <v>1</v>
      </c>
      <c r="E24" s="13"/>
      <c r="F24" s="13"/>
      <c r="G24" s="14"/>
    </row>
    <row r="25" spans="1:7" s="5" customFormat="1" ht="25.5">
      <c r="A25" s="29">
        <f>+A24+0.01</f>
        <v>1.02</v>
      </c>
      <c r="B25" s="15" t="s">
        <v>77</v>
      </c>
      <c r="C25" s="12" t="s">
        <v>12</v>
      </c>
      <c r="D25" s="13">
        <v>1</v>
      </c>
      <c r="E25" s="13"/>
      <c r="F25" s="13"/>
      <c r="G25" s="14"/>
    </row>
    <row r="26" spans="1:7" s="5" customFormat="1" ht="12.75">
      <c r="A26" s="29">
        <f>+A25+0.01</f>
        <v>1.03</v>
      </c>
      <c r="B26" s="15" t="s">
        <v>448</v>
      </c>
      <c r="C26" s="12" t="s">
        <v>12</v>
      </c>
      <c r="D26" s="13">
        <v>1</v>
      </c>
      <c r="E26" s="13"/>
      <c r="F26" s="13"/>
      <c r="G26" s="14"/>
    </row>
    <row r="27" spans="1:7" s="5" customFormat="1" ht="12.75">
      <c r="A27" s="29">
        <f>+A26+0.01</f>
        <v>1.04</v>
      </c>
      <c r="B27" s="15" t="s">
        <v>20</v>
      </c>
      <c r="C27" s="12" t="s">
        <v>12</v>
      </c>
      <c r="D27" s="13">
        <v>1</v>
      </c>
      <c r="E27" s="13"/>
      <c r="F27" s="13"/>
      <c r="G27" s="14"/>
    </row>
    <row r="28" spans="1:7" s="5" customFormat="1" ht="12.75">
      <c r="A28" s="29">
        <f>+A27+0.01</f>
        <v>1.05</v>
      </c>
      <c r="B28" s="15" t="s">
        <v>449</v>
      </c>
      <c r="C28" s="12" t="s">
        <v>12</v>
      </c>
      <c r="D28" s="13">
        <v>1</v>
      </c>
      <c r="E28" s="13"/>
      <c r="F28" s="13"/>
      <c r="G28" s="14"/>
    </row>
    <row r="29" spans="1:7" s="5" customFormat="1" ht="13.5" thickBot="1">
      <c r="A29" s="29"/>
      <c r="B29" s="15"/>
      <c r="C29" s="12"/>
      <c r="D29" s="13"/>
      <c r="E29" s="13"/>
      <c r="F29" s="13"/>
      <c r="G29" s="14"/>
    </row>
    <row r="30" spans="1:7" s="5" customFormat="1" ht="13.5" thickBot="1">
      <c r="A30" s="29"/>
      <c r="B30" s="15"/>
      <c r="C30" s="12"/>
      <c r="D30" s="13"/>
      <c r="E30" s="84" t="str">
        <f>+B23</f>
        <v>PRELIMINARES </v>
      </c>
      <c r="F30" s="85"/>
      <c r="G30" s="16">
        <f>SUM(F22:F29)</f>
        <v>0</v>
      </c>
    </row>
    <row r="31" spans="1:7" s="5" customFormat="1" ht="13.5" thickBot="1">
      <c r="A31" s="29"/>
      <c r="B31" s="15"/>
      <c r="C31" s="12"/>
      <c r="D31" s="13"/>
      <c r="E31" s="13"/>
      <c r="F31" s="13"/>
      <c r="G31" s="14"/>
    </row>
    <row r="32" spans="1:7" s="5" customFormat="1" ht="13.5" thickBot="1">
      <c r="A32" s="28">
        <v>2</v>
      </c>
      <c r="B32" s="11" t="s">
        <v>21</v>
      </c>
      <c r="C32" s="12"/>
      <c r="D32" s="13"/>
      <c r="E32" s="13"/>
      <c r="F32" s="13"/>
      <c r="G32" s="14"/>
    </row>
    <row r="33" spans="1:7" s="5" customFormat="1" ht="12.75">
      <c r="A33" s="29">
        <f>+A32+0.01</f>
        <v>2.01</v>
      </c>
      <c r="B33" s="15" t="s">
        <v>456</v>
      </c>
      <c r="C33" s="12" t="s">
        <v>15</v>
      </c>
      <c r="D33" s="13">
        <f>12348*0.2</f>
        <v>2469.6000000000004</v>
      </c>
      <c r="E33" s="13"/>
      <c r="F33" s="13"/>
      <c r="G33" s="14"/>
    </row>
    <row r="34" spans="1:7" s="5" customFormat="1" ht="12.75">
      <c r="A34" s="29">
        <f>+A33+0.01</f>
        <v>2.0199999999999996</v>
      </c>
      <c r="B34" s="15" t="s">
        <v>453</v>
      </c>
      <c r="C34" s="12" t="s">
        <v>15</v>
      </c>
      <c r="D34" s="13">
        <f>+D33*1.25</f>
        <v>3087.0000000000005</v>
      </c>
      <c r="E34" s="13"/>
      <c r="F34" s="13"/>
      <c r="G34" s="14"/>
    </row>
    <row r="35" spans="1:7" s="5" customFormat="1" ht="12.75">
      <c r="A35" s="29">
        <f>+A34+0.01</f>
        <v>2.0299999999999994</v>
      </c>
      <c r="B35" s="15" t="s">
        <v>469</v>
      </c>
      <c r="C35" s="12" t="s">
        <v>15</v>
      </c>
      <c r="D35" s="13">
        <f>12348*0.3</f>
        <v>3704.3999999999996</v>
      </c>
      <c r="E35" s="13"/>
      <c r="F35" s="13"/>
      <c r="G35" s="14"/>
    </row>
    <row r="36" spans="1:7" s="5" customFormat="1" ht="12.75">
      <c r="A36" s="29">
        <f>+A35+0.01</f>
        <v>2.039999999999999</v>
      </c>
      <c r="B36" s="15" t="s">
        <v>454</v>
      </c>
      <c r="C36" s="12" t="s">
        <v>93</v>
      </c>
      <c r="D36" s="13">
        <f>+D35*1.25*15</f>
        <v>69457.5</v>
      </c>
      <c r="E36" s="13"/>
      <c r="F36" s="13"/>
      <c r="G36" s="14"/>
    </row>
    <row r="37" spans="1:7" s="5" customFormat="1" ht="12.75">
      <c r="A37" s="29">
        <f>+A36+0.01</f>
        <v>2.049999999999999</v>
      </c>
      <c r="B37" s="15" t="s">
        <v>455</v>
      </c>
      <c r="C37" s="12" t="s">
        <v>470</v>
      </c>
      <c r="D37" s="13">
        <f>+D35*1.2</f>
        <v>4445.28</v>
      </c>
      <c r="E37" s="13"/>
      <c r="F37" s="13"/>
      <c r="G37" s="14"/>
    </row>
    <row r="38" spans="1:7" s="5" customFormat="1" ht="13.5" thickBot="1">
      <c r="A38" s="29"/>
      <c r="B38" s="15"/>
      <c r="C38" s="12"/>
      <c r="D38" s="13"/>
      <c r="E38" s="13"/>
      <c r="F38" s="13"/>
      <c r="G38" s="14"/>
    </row>
    <row r="39" spans="1:7" s="5" customFormat="1" ht="13.5" thickBot="1">
      <c r="A39" s="29"/>
      <c r="B39" s="15"/>
      <c r="C39" s="12"/>
      <c r="D39" s="13"/>
      <c r="E39" s="84" t="str">
        <f>+B32</f>
        <v>ACONDICIONAMIENTO DE TERRENO</v>
      </c>
      <c r="F39" s="85"/>
      <c r="G39" s="16">
        <f>SUM(F32:F37)</f>
        <v>0</v>
      </c>
    </row>
    <row r="40" spans="1:7" s="5" customFormat="1" ht="13.5" thickBot="1">
      <c r="A40" s="29"/>
      <c r="B40" s="15"/>
      <c r="C40" s="12"/>
      <c r="D40" s="13"/>
      <c r="E40" s="13"/>
      <c r="F40" s="13"/>
      <c r="G40" s="14"/>
    </row>
    <row r="41" spans="1:7" s="5" customFormat="1" ht="13.5" thickBot="1">
      <c r="A41" s="28">
        <v>2</v>
      </c>
      <c r="B41" s="11" t="s">
        <v>22</v>
      </c>
      <c r="C41" s="12"/>
      <c r="D41" s="13"/>
      <c r="E41" s="13"/>
      <c r="F41" s="13"/>
      <c r="G41" s="14"/>
    </row>
    <row r="42" spans="1:7" s="5" customFormat="1" ht="25.5">
      <c r="A42" s="29">
        <f>+A41+0.01</f>
        <v>2.01</v>
      </c>
      <c r="B42" s="15" t="s">
        <v>387</v>
      </c>
      <c r="C42" s="12" t="s">
        <v>13</v>
      </c>
      <c r="D42" s="13">
        <v>1</v>
      </c>
      <c r="E42" s="13"/>
      <c r="F42" s="13"/>
      <c r="G42" s="14"/>
    </row>
    <row r="43" spans="1:7" s="5" customFormat="1" ht="12.75">
      <c r="A43" s="29">
        <f aca="true" t="shared" si="0" ref="A43:A68">+A42+0.01</f>
        <v>2.0199999999999996</v>
      </c>
      <c r="B43" s="17" t="s">
        <v>32</v>
      </c>
      <c r="C43" s="12" t="s">
        <v>13</v>
      </c>
      <c r="D43" s="13">
        <v>1</v>
      </c>
      <c r="E43" s="13"/>
      <c r="F43" s="13"/>
      <c r="G43" s="14"/>
    </row>
    <row r="44" spans="1:7" s="5" customFormat="1" ht="12.75">
      <c r="A44" s="29">
        <f t="shared" si="0"/>
        <v>2.0299999999999994</v>
      </c>
      <c r="B44" s="15" t="s">
        <v>23</v>
      </c>
      <c r="C44" s="12" t="s">
        <v>13</v>
      </c>
      <c r="D44" s="13">
        <v>1</v>
      </c>
      <c r="E44" s="13"/>
      <c r="F44" s="13"/>
      <c r="G44" s="14"/>
    </row>
    <row r="45" spans="1:7" s="5" customFormat="1" ht="12.75">
      <c r="A45" s="29">
        <f t="shared" si="0"/>
        <v>2.039999999999999</v>
      </c>
      <c r="B45" s="15" t="s">
        <v>33</v>
      </c>
      <c r="C45" s="12" t="s">
        <v>13</v>
      </c>
      <c r="D45" s="13">
        <v>10</v>
      </c>
      <c r="E45" s="13"/>
      <c r="F45" s="13"/>
      <c r="G45" s="14"/>
    </row>
    <row r="46" spans="1:7" s="5" customFormat="1" ht="12.75">
      <c r="A46" s="29">
        <f t="shared" si="0"/>
        <v>2.049999999999999</v>
      </c>
      <c r="B46" s="15" t="s">
        <v>441</v>
      </c>
      <c r="C46" s="12" t="s">
        <v>13</v>
      </c>
      <c r="D46" s="13">
        <v>20</v>
      </c>
      <c r="E46" s="13"/>
      <c r="F46" s="13"/>
      <c r="G46" s="14"/>
    </row>
    <row r="47" spans="1:7" s="5" customFormat="1" ht="12.75">
      <c r="A47" s="29">
        <f t="shared" si="0"/>
        <v>2.0599999999999987</v>
      </c>
      <c r="B47" s="15" t="s">
        <v>426</v>
      </c>
      <c r="C47" s="12" t="s">
        <v>10</v>
      </c>
      <c r="D47" s="13">
        <v>1875</v>
      </c>
      <c r="E47" s="13"/>
      <c r="F47" s="13"/>
      <c r="G47" s="14"/>
    </row>
    <row r="48" spans="1:7" s="5" customFormat="1" ht="12.75">
      <c r="A48" s="29">
        <f t="shared" si="0"/>
        <v>2.0699999999999985</v>
      </c>
      <c r="B48" s="15" t="s">
        <v>35</v>
      </c>
      <c r="C48" s="12" t="s">
        <v>13</v>
      </c>
      <c r="D48" s="13">
        <v>15</v>
      </c>
      <c r="E48" s="13"/>
      <c r="F48" s="13"/>
      <c r="G48" s="14"/>
    </row>
    <row r="49" spans="1:7" s="5" customFormat="1" ht="12.75">
      <c r="A49" s="29">
        <f t="shared" si="0"/>
        <v>2.0799999999999983</v>
      </c>
      <c r="B49" s="15" t="s">
        <v>36</v>
      </c>
      <c r="C49" s="12" t="s">
        <v>13</v>
      </c>
      <c r="D49" s="13">
        <v>250</v>
      </c>
      <c r="E49" s="13"/>
      <c r="F49" s="13"/>
      <c r="G49" s="14"/>
    </row>
    <row r="50" spans="1:7" s="5" customFormat="1" ht="12.75">
      <c r="A50" s="29">
        <f t="shared" si="0"/>
        <v>2.089999999999998</v>
      </c>
      <c r="B50" s="15" t="s">
        <v>37</v>
      </c>
      <c r="C50" s="12" t="s">
        <v>13</v>
      </c>
      <c r="D50" s="13">
        <v>800</v>
      </c>
      <c r="E50" s="13"/>
      <c r="F50" s="13"/>
      <c r="G50" s="14"/>
    </row>
    <row r="51" spans="1:7" s="5" customFormat="1" ht="12.75">
      <c r="A51" s="29">
        <f t="shared" si="0"/>
        <v>2.099999999999998</v>
      </c>
      <c r="B51" s="15" t="s">
        <v>38</v>
      </c>
      <c r="C51" s="12" t="s">
        <v>19</v>
      </c>
      <c r="D51" s="13">
        <v>2</v>
      </c>
      <c r="E51" s="13"/>
      <c r="F51" s="13"/>
      <c r="G51" s="14"/>
    </row>
    <row r="52" spans="1:7" s="5" customFormat="1" ht="12.75">
      <c r="A52" s="29">
        <f t="shared" si="0"/>
        <v>2.1099999999999977</v>
      </c>
      <c r="B52" s="15" t="s">
        <v>28</v>
      </c>
      <c r="C52" s="12" t="s">
        <v>13</v>
      </c>
      <c r="D52" s="13">
        <v>12</v>
      </c>
      <c r="E52" s="13"/>
      <c r="F52" s="13"/>
      <c r="G52" s="14"/>
    </row>
    <row r="53" spans="1:7" s="5" customFormat="1" ht="12.75">
      <c r="A53" s="29">
        <f t="shared" si="0"/>
        <v>2.1199999999999974</v>
      </c>
      <c r="B53" s="15" t="s">
        <v>29</v>
      </c>
      <c r="C53" s="12" t="s">
        <v>13</v>
      </c>
      <c r="D53" s="13">
        <v>24</v>
      </c>
      <c r="E53" s="13"/>
      <c r="F53" s="13"/>
      <c r="G53" s="14"/>
    </row>
    <row r="54" spans="1:7" s="5" customFormat="1" ht="25.5">
      <c r="A54" s="29">
        <f t="shared" si="0"/>
        <v>2.1299999999999972</v>
      </c>
      <c r="B54" s="15" t="s">
        <v>30</v>
      </c>
      <c r="C54" s="12" t="s">
        <v>11</v>
      </c>
      <c r="D54" s="13">
        <f>125*2</f>
        <v>250</v>
      </c>
      <c r="E54" s="13"/>
      <c r="F54" s="13"/>
      <c r="G54" s="14"/>
    </row>
    <row r="55" spans="1:7" s="5" customFormat="1" ht="12.75">
      <c r="A55" s="29">
        <f t="shared" si="0"/>
        <v>2.139999999999997</v>
      </c>
      <c r="B55" s="15" t="s">
        <v>31</v>
      </c>
      <c r="C55" s="12" t="s">
        <v>16</v>
      </c>
      <c r="D55" s="13">
        <f>125*2*0.4</f>
        <v>100</v>
      </c>
      <c r="E55" s="13"/>
      <c r="F55" s="13"/>
      <c r="G55" s="14"/>
    </row>
    <row r="56" spans="1:7" s="5" customFormat="1" ht="12.75">
      <c r="A56" s="29">
        <f t="shared" si="0"/>
        <v>2.149999999999997</v>
      </c>
      <c r="B56" s="15" t="s">
        <v>442</v>
      </c>
      <c r="C56" s="12" t="s">
        <v>10</v>
      </c>
      <c r="D56" s="13">
        <f>124*1.8</f>
        <v>223.20000000000002</v>
      </c>
      <c r="E56" s="13"/>
      <c r="F56" s="13"/>
      <c r="G56" s="14"/>
    </row>
    <row r="57" spans="1:7" s="5" customFormat="1" ht="12.75">
      <c r="A57" s="29">
        <f t="shared" si="0"/>
        <v>2.1599999999999966</v>
      </c>
      <c r="B57" s="15" t="s">
        <v>34</v>
      </c>
      <c r="C57" s="12" t="s">
        <v>50</v>
      </c>
      <c r="D57" s="13">
        <v>16</v>
      </c>
      <c r="E57" s="13"/>
      <c r="F57" s="13"/>
      <c r="G57" s="14"/>
    </row>
    <row r="58" spans="1:7" s="5" customFormat="1" ht="12.75">
      <c r="A58" s="29">
        <f t="shared" si="0"/>
        <v>2.1699999999999964</v>
      </c>
      <c r="B58" s="15" t="s">
        <v>39</v>
      </c>
      <c r="C58" s="12" t="s">
        <v>10</v>
      </c>
      <c r="D58" s="13">
        <v>126</v>
      </c>
      <c r="E58" s="13"/>
      <c r="F58" s="13"/>
      <c r="G58" s="14"/>
    </row>
    <row r="59" spans="1:7" s="5" customFormat="1" ht="12.75">
      <c r="A59" s="29">
        <f t="shared" si="0"/>
        <v>2.179999999999996</v>
      </c>
      <c r="B59" s="15" t="s">
        <v>84</v>
      </c>
      <c r="C59" s="12" t="s">
        <v>13</v>
      </c>
      <c r="D59" s="13">
        <v>8</v>
      </c>
      <c r="E59" s="13"/>
      <c r="F59" s="13"/>
      <c r="G59" s="14"/>
    </row>
    <row r="60" spans="1:7" s="5" customFormat="1" ht="12.75">
      <c r="A60" s="29">
        <f t="shared" si="0"/>
        <v>2.189999999999996</v>
      </c>
      <c r="B60" s="15" t="s">
        <v>85</v>
      </c>
      <c r="C60" s="12" t="s">
        <v>11</v>
      </c>
      <c r="D60" s="13">
        <f>+D59*1.8</f>
        <v>14.4</v>
      </c>
      <c r="E60" s="13"/>
      <c r="F60" s="13"/>
      <c r="G60" s="14"/>
    </row>
    <row r="61" spans="1:7" s="5" customFormat="1" ht="12.75">
      <c r="A61" s="29">
        <f t="shared" si="0"/>
        <v>2.1999999999999957</v>
      </c>
      <c r="B61" s="15" t="s">
        <v>99</v>
      </c>
      <c r="C61" s="12" t="s">
        <v>11</v>
      </c>
      <c r="D61" s="13">
        <v>86</v>
      </c>
      <c r="E61" s="13"/>
      <c r="F61" s="13"/>
      <c r="G61" s="14"/>
    </row>
    <row r="62" spans="1:7" s="5" customFormat="1" ht="12.75">
      <c r="A62" s="29">
        <f t="shared" si="0"/>
        <v>2.2099999999999955</v>
      </c>
      <c r="B62" s="15" t="s">
        <v>100</v>
      </c>
      <c r="C62" s="12" t="s">
        <v>11</v>
      </c>
      <c r="D62" s="13">
        <v>116</v>
      </c>
      <c r="E62" s="13"/>
      <c r="F62" s="13"/>
      <c r="G62" s="14"/>
    </row>
    <row r="63" spans="1:7" s="5" customFormat="1" ht="12.75">
      <c r="A63" s="29">
        <f t="shared" si="0"/>
        <v>2.2199999999999953</v>
      </c>
      <c r="B63" s="15" t="s">
        <v>457</v>
      </c>
      <c r="C63" s="12" t="s">
        <v>11</v>
      </c>
      <c r="D63" s="13">
        <v>250</v>
      </c>
      <c r="E63" s="13"/>
      <c r="F63" s="13"/>
      <c r="G63" s="14"/>
    </row>
    <row r="64" spans="1:7" s="5" customFormat="1" ht="12.75">
      <c r="A64" s="29">
        <f t="shared" si="0"/>
        <v>2.229999999999995</v>
      </c>
      <c r="B64" s="15" t="s">
        <v>101</v>
      </c>
      <c r="C64" s="12" t="s">
        <v>13</v>
      </c>
      <c r="D64" s="13">
        <v>5</v>
      </c>
      <c r="E64" s="13"/>
      <c r="F64" s="13"/>
      <c r="G64" s="14"/>
    </row>
    <row r="65" spans="1:7" s="5" customFormat="1" ht="12.75">
      <c r="A65" s="29">
        <f t="shared" si="0"/>
        <v>2.239999999999995</v>
      </c>
      <c r="B65" s="15" t="s">
        <v>464</v>
      </c>
      <c r="C65" s="12" t="s">
        <v>13</v>
      </c>
      <c r="D65" s="13">
        <v>4</v>
      </c>
      <c r="E65" s="13"/>
      <c r="F65" s="13"/>
      <c r="G65" s="14"/>
    </row>
    <row r="66" spans="1:7" s="5" customFormat="1" ht="12.75">
      <c r="A66" s="29">
        <f t="shared" si="0"/>
        <v>2.2499999999999947</v>
      </c>
      <c r="B66" s="15" t="s">
        <v>465</v>
      </c>
      <c r="C66" s="12" t="s">
        <v>467</v>
      </c>
      <c r="D66" s="13">
        <v>140</v>
      </c>
      <c r="E66" s="13"/>
      <c r="F66" s="13"/>
      <c r="G66" s="14"/>
    </row>
    <row r="67" spans="1:7" s="5" customFormat="1" ht="12.75">
      <c r="A67" s="29">
        <f t="shared" si="0"/>
        <v>2.2599999999999945</v>
      </c>
      <c r="B67" s="15" t="s">
        <v>466</v>
      </c>
      <c r="C67" s="12" t="s">
        <v>13</v>
      </c>
      <c r="D67" s="13">
        <v>1</v>
      </c>
      <c r="E67" s="13"/>
      <c r="F67" s="13"/>
      <c r="G67" s="14"/>
    </row>
    <row r="68" spans="1:7" s="5" customFormat="1" ht="12.75">
      <c r="A68" s="29">
        <f t="shared" si="0"/>
        <v>2.2699999999999942</v>
      </c>
      <c r="B68" s="15" t="s">
        <v>468</v>
      </c>
      <c r="C68" s="12" t="s">
        <v>467</v>
      </c>
      <c r="D68" s="13">
        <f>80*3</f>
        <v>240</v>
      </c>
      <c r="E68" s="13"/>
      <c r="F68" s="13"/>
      <c r="G68" s="14"/>
    </row>
    <row r="69" spans="1:7" s="5" customFormat="1" ht="13.5" thickBot="1">
      <c r="A69" s="29"/>
      <c r="B69" s="15"/>
      <c r="C69" s="12"/>
      <c r="D69" s="13"/>
      <c r="E69" s="13"/>
      <c r="F69" s="13"/>
      <c r="G69" s="14"/>
    </row>
    <row r="70" spans="1:7" s="5" customFormat="1" ht="13.5" thickBot="1">
      <c r="A70" s="29"/>
      <c r="B70" s="15"/>
      <c r="C70" s="12"/>
      <c r="D70" s="13"/>
      <c r="E70" s="84" t="str">
        <f>+B41</f>
        <v>AREAS EXTERIORES </v>
      </c>
      <c r="F70" s="85"/>
      <c r="G70" s="16">
        <f>SUM(F42:F69)</f>
        <v>0</v>
      </c>
    </row>
    <row r="71" spans="1:7" s="5" customFormat="1" ht="12.75">
      <c r="A71" s="29"/>
      <c r="B71" s="15"/>
      <c r="C71" s="12"/>
      <c r="D71" s="13"/>
      <c r="E71" s="13"/>
      <c r="F71" s="13"/>
      <c r="G71" s="14"/>
    </row>
    <row r="72" spans="1:7" s="5" customFormat="1" ht="13.5" thickBot="1">
      <c r="A72" s="29"/>
      <c r="B72" s="15"/>
      <c r="C72" s="12"/>
      <c r="D72" s="13"/>
      <c r="E72" s="13"/>
      <c r="F72" s="13"/>
      <c r="G72" s="14"/>
    </row>
    <row r="73" spans="1:7" s="5" customFormat="1" ht="13.5" thickBot="1">
      <c r="A73" s="28">
        <v>3</v>
      </c>
      <c r="B73" s="11" t="s">
        <v>80</v>
      </c>
      <c r="C73" s="12"/>
      <c r="D73" s="13"/>
      <c r="E73" s="13"/>
      <c r="F73" s="13"/>
      <c r="G73" s="14"/>
    </row>
    <row r="74" spans="1:7" s="5" customFormat="1" ht="12.75">
      <c r="A74" s="29">
        <f>+A73+0.01</f>
        <v>3.01</v>
      </c>
      <c r="B74" s="15" t="s">
        <v>81</v>
      </c>
      <c r="C74" s="12" t="s">
        <v>10</v>
      </c>
      <c r="D74" s="13">
        <f>19*25</f>
        <v>475</v>
      </c>
      <c r="E74" s="13"/>
      <c r="F74" s="13"/>
      <c r="G74" s="14"/>
    </row>
    <row r="75" spans="1:7" s="5" customFormat="1" ht="12.75">
      <c r="A75" s="29">
        <f aca="true" t="shared" si="1" ref="A75:A83">+A74+0.01</f>
        <v>3.0199999999999996</v>
      </c>
      <c r="B75" s="17" t="s">
        <v>82</v>
      </c>
      <c r="C75" s="12" t="s">
        <v>11</v>
      </c>
      <c r="D75" s="13">
        <v>90</v>
      </c>
      <c r="E75" s="13"/>
      <c r="F75" s="13"/>
      <c r="G75" s="14"/>
    </row>
    <row r="76" spans="1:7" s="5" customFormat="1" ht="25.5">
      <c r="A76" s="29">
        <f t="shared" si="1"/>
        <v>3.0299999999999994</v>
      </c>
      <c r="B76" s="15" t="s">
        <v>83</v>
      </c>
      <c r="C76" s="12" t="s">
        <v>0</v>
      </c>
      <c r="D76" s="13">
        <f>19*25*0.1</f>
        <v>47.5</v>
      </c>
      <c r="E76" s="13"/>
      <c r="F76" s="13"/>
      <c r="G76" s="14"/>
    </row>
    <row r="77" spans="1:7" s="5" customFormat="1" ht="12.75">
      <c r="A77" s="29">
        <f t="shared" si="1"/>
        <v>3.039999999999999</v>
      </c>
      <c r="B77" s="15" t="s">
        <v>86</v>
      </c>
      <c r="C77" s="12" t="s">
        <v>13</v>
      </c>
      <c r="D77" s="13">
        <v>1</v>
      </c>
      <c r="E77" s="13"/>
      <c r="F77" s="13"/>
      <c r="G77" s="14"/>
    </row>
    <row r="78" spans="1:7" s="5" customFormat="1" ht="12.75">
      <c r="A78" s="29">
        <f t="shared" si="1"/>
        <v>3.049999999999999</v>
      </c>
      <c r="B78" s="15" t="s">
        <v>87</v>
      </c>
      <c r="C78" s="12" t="s">
        <v>13</v>
      </c>
      <c r="D78" s="13">
        <v>1</v>
      </c>
      <c r="E78" s="13"/>
      <c r="F78" s="13"/>
      <c r="G78" s="14"/>
    </row>
    <row r="79" spans="1:7" s="5" customFormat="1" ht="12.75">
      <c r="A79" s="29">
        <f t="shared" si="1"/>
        <v>3.0599999999999987</v>
      </c>
      <c r="B79" s="15" t="s">
        <v>88</v>
      </c>
      <c r="C79" s="12" t="s">
        <v>13</v>
      </c>
      <c r="D79" s="13">
        <v>1</v>
      </c>
      <c r="E79" s="13"/>
      <c r="F79" s="13"/>
      <c r="G79" s="14"/>
    </row>
    <row r="80" spans="1:7" s="5" customFormat="1" ht="12.75">
      <c r="A80" s="29">
        <f t="shared" si="1"/>
        <v>3.0699999999999985</v>
      </c>
      <c r="B80" s="15" t="s">
        <v>89</v>
      </c>
      <c r="C80" s="12" t="s">
        <v>13</v>
      </c>
      <c r="D80" s="13">
        <v>1</v>
      </c>
      <c r="E80" s="13"/>
      <c r="F80" s="13"/>
      <c r="G80" s="14"/>
    </row>
    <row r="81" spans="1:7" s="5" customFormat="1" ht="12.75">
      <c r="A81" s="29">
        <f t="shared" si="1"/>
        <v>3.0799999999999983</v>
      </c>
      <c r="B81" s="15" t="s">
        <v>90</v>
      </c>
      <c r="C81" s="12" t="s">
        <v>27</v>
      </c>
      <c r="D81" s="13">
        <v>12</v>
      </c>
      <c r="E81" s="13"/>
      <c r="F81" s="13"/>
      <c r="G81" s="14"/>
    </row>
    <row r="82" spans="1:7" s="5" customFormat="1" ht="12.75">
      <c r="A82" s="29">
        <f t="shared" si="1"/>
        <v>3.089999999999998</v>
      </c>
      <c r="B82" s="15" t="s">
        <v>91</v>
      </c>
      <c r="C82" s="12" t="s">
        <v>27</v>
      </c>
      <c r="D82" s="13">
        <v>32</v>
      </c>
      <c r="E82" s="13"/>
      <c r="F82" s="13"/>
      <c r="G82" s="14"/>
    </row>
    <row r="83" spans="1:7" s="5" customFormat="1" ht="12.75">
      <c r="A83" s="29">
        <f t="shared" si="1"/>
        <v>3.099999999999998</v>
      </c>
      <c r="B83" s="15" t="s">
        <v>92</v>
      </c>
      <c r="C83" s="12" t="s">
        <v>27</v>
      </c>
      <c r="D83" s="13">
        <v>48</v>
      </c>
      <c r="E83" s="13"/>
      <c r="F83" s="13"/>
      <c r="G83" s="14"/>
    </row>
    <row r="84" spans="1:7" s="5" customFormat="1" ht="13.5" thickBot="1">
      <c r="A84" s="29"/>
      <c r="B84" s="15"/>
      <c r="C84" s="12"/>
      <c r="D84" s="13"/>
      <c r="E84" s="13"/>
      <c r="F84" s="13"/>
      <c r="G84" s="14"/>
    </row>
    <row r="85" spans="1:7" s="5" customFormat="1" ht="13.5" thickBot="1">
      <c r="A85" s="29"/>
      <c r="B85" s="15"/>
      <c r="C85" s="12"/>
      <c r="D85" s="13"/>
      <c r="E85" s="84" t="str">
        <f>+B73</f>
        <v>AREA CIVICA (19.00X25.00)</v>
      </c>
      <c r="F85" s="85"/>
      <c r="G85" s="16">
        <f>SUM(F57:F83)</f>
        <v>0</v>
      </c>
    </row>
    <row r="86" spans="1:7" s="5" customFormat="1" ht="12.75">
      <c r="A86" s="29"/>
      <c r="B86" s="15"/>
      <c r="C86" s="12"/>
      <c r="D86" s="13"/>
      <c r="E86" s="13"/>
      <c r="F86" s="13"/>
      <c r="G86" s="14"/>
    </row>
    <row r="87" spans="1:7" s="5" customFormat="1" ht="13.5" thickBot="1">
      <c r="A87" s="29"/>
      <c r="B87" s="15"/>
      <c r="C87" s="12"/>
      <c r="D87" s="13"/>
      <c r="E87" s="13"/>
      <c r="F87" s="13"/>
      <c r="G87" s="14"/>
    </row>
    <row r="88" spans="1:7" s="5" customFormat="1" ht="13.5" thickBot="1">
      <c r="A88" s="28">
        <v>4</v>
      </c>
      <c r="B88" s="11" t="s">
        <v>458</v>
      </c>
      <c r="C88" s="12"/>
      <c r="D88" s="13"/>
      <c r="E88" s="13"/>
      <c r="F88" s="13"/>
      <c r="G88" s="14"/>
    </row>
    <row r="89" spans="1:7" s="5" customFormat="1" ht="12.75">
      <c r="A89" s="29">
        <f>+A88+0.01</f>
        <v>4.01</v>
      </c>
      <c r="B89" s="15" t="s">
        <v>98</v>
      </c>
      <c r="C89" s="12" t="s">
        <v>15</v>
      </c>
      <c r="D89" s="13">
        <f>445.34*0.6*0.45</f>
        <v>120.24179999999998</v>
      </c>
      <c r="E89" s="13"/>
      <c r="F89" s="13"/>
      <c r="G89" s="14"/>
    </row>
    <row r="90" spans="1:7" s="5" customFormat="1" ht="12.75">
      <c r="A90" s="29">
        <f aca="true" t="shared" si="2" ref="A90:A105">+A89+0.01</f>
        <v>4.02</v>
      </c>
      <c r="B90" s="17" t="s">
        <v>54</v>
      </c>
      <c r="C90" s="12" t="s">
        <v>16</v>
      </c>
      <c r="D90" s="13">
        <f>445.34*0.3*0.6*0.8</f>
        <v>64.12895999999999</v>
      </c>
      <c r="E90" s="13"/>
      <c r="F90" s="13"/>
      <c r="G90" s="14"/>
    </row>
    <row r="91" spans="1:7" s="5" customFormat="1" ht="12.75">
      <c r="A91" s="29">
        <f t="shared" si="2"/>
        <v>4.029999999999999</v>
      </c>
      <c r="B91" s="15" t="s">
        <v>40</v>
      </c>
      <c r="C91" s="12" t="s">
        <v>24</v>
      </c>
      <c r="D91" s="13">
        <f>+D89*1.25</f>
        <v>150.30225</v>
      </c>
      <c r="E91" s="13"/>
      <c r="F91" s="13"/>
      <c r="G91" s="14"/>
    </row>
    <row r="92" spans="1:7" s="5" customFormat="1" ht="12.75">
      <c r="A92" s="29">
        <f t="shared" si="2"/>
        <v>4.039999999999999</v>
      </c>
      <c r="B92" s="15" t="s">
        <v>41</v>
      </c>
      <c r="C92" s="12" t="s">
        <v>0</v>
      </c>
      <c r="D92" s="13">
        <f>445.34*0.45*0.2</f>
        <v>40.080600000000004</v>
      </c>
      <c r="E92" s="13"/>
      <c r="F92" s="13"/>
      <c r="G92" s="14"/>
    </row>
    <row r="93" spans="1:7" s="5" customFormat="1" ht="12.75">
      <c r="A93" s="29">
        <f t="shared" si="2"/>
        <v>4.049999999999999</v>
      </c>
      <c r="B93" s="15" t="s">
        <v>42</v>
      </c>
      <c r="C93" s="12" t="s">
        <v>0</v>
      </c>
      <c r="D93" s="13">
        <f>160*0.8*0.8*0.2</f>
        <v>20.480000000000004</v>
      </c>
      <c r="E93" s="13"/>
      <c r="F93" s="13"/>
      <c r="G93" s="14"/>
    </row>
    <row r="94" spans="1:7" s="5" customFormat="1" ht="12.75">
      <c r="A94" s="29">
        <f t="shared" si="2"/>
        <v>4.059999999999999</v>
      </c>
      <c r="B94" s="15" t="s">
        <v>43</v>
      </c>
      <c r="C94" s="12" t="s">
        <v>10</v>
      </c>
      <c r="D94" s="13">
        <f>445.34*0.6</f>
        <v>267.20399999999995</v>
      </c>
      <c r="E94" s="13"/>
      <c r="F94" s="13"/>
      <c r="G94" s="14"/>
    </row>
    <row r="95" spans="1:7" s="5" customFormat="1" ht="12.75">
      <c r="A95" s="29">
        <f t="shared" si="2"/>
        <v>4.0699999999999985</v>
      </c>
      <c r="B95" s="15" t="s">
        <v>44</v>
      </c>
      <c r="C95" s="12" t="s">
        <v>10</v>
      </c>
      <c r="D95" s="13">
        <f>445.34*3</f>
        <v>1336.02</v>
      </c>
      <c r="E95" s="13"/>
      <c r="F95" s="13"/>
      <c r="G95" s="14"/>
    </row>
    <row r="96" spans="1:7" s="5" customFormat="1" ht="12.75">
      <c r="A96" s="29">
        <f t="shared" si="2"/>
        <v>4.079999999999998</v>
      </c>
      <c r="B96" s="15" t="s">
        <v>45</v>
      </c>
      <c r="C96" s="12" t="s">
        <v>0</v>
      </c>
      <c r="D96" s="13">
        <f>160*0.2*0.2*3.8</f>
        <v>24.32</v>
      </c>
      <c r="E96" s="13"/>
      <c r="F96" s="13"/>
      <c r="G96" s="14"/>
    </row>
    <row r="97" spans="1:7" s="5" customFormat="1" ht="12.75">
      <c r="A97" s="29">
        <f t="shared" si="2"/>
        <v>4.089999999999998</v>
      </c>
      <c r="B97" s="15" t="s">
        <v>46</v>
      </c>
      <c r="C97" s="12" t="s">
        <v>0</v>
      </c>
      <c r="D97" s="13">
        <f>445.34*0.2*0.2</f>
        <v>17.8136</v>
      </c>
      <c r="E97" s="13"/>
      <c r="F97" s="13"/>
      <c r="G97" s="14"/>
    </row>
    <row r="98" spans="1:7" s="5" customFormat="1" ht="12.75">
      <c r="A98" s="29">
        <f t="shared" si="2"/>
        <v>4.099999999999998</v>
      </c>
      <c r="B98" s="15" t="s">
        <v>47</v>
      </c>
      <c r="C98" s="12" t="s">
        <v>10</v>
      </c>
      <c r="D98" s="13">
        <f>0.6*445.34+(160*0.6*3.2)</f>
        <v>574.404</v>
      </c>
      <c r="E98" s="13"/>
      <c r="F98" s="13"/>
      <c r="G98" s="14"/>
    </row>
    <row r="99" spans="1:7" s="5" customFormat="1" ht="12.75">
      <c r="A99" s="29">
        <f t="shared" si="2"/>
        <v>4.109999999999998</v>
      </c>
      <c r="B99" s="15" t="s">
        <v>48</v>
      </c>
      <c r="C99" s="12" t="s">
        <v>10</v>
      </c>
      <c r="D99" s="13">
        <f>+D98</f>
        <v>574.404</v>
      </c>
      <c r="E99" s="13"/>
      <c r="F99" s="13"/>
      <c r="G99" s="14"/>
    </row>
    <row r="100" spans="1:7" s="5" customFormat="1" ht="12.75">
      <c r="A100" s="29">
        <f t="shared" si="2"/>
        <v>4.119999999999997</v>
      </c>
      <c r="B100" s="15" t="s">
        <v>49</v>
      </c>
      <c r="C100" s="12" t="s">
        <v>11</v>
      </c>
      <c r="D100" s="13">
        <f>445.34*4+(160*4*3.2)</f>
        <v>3829.3599999999997</v>
      </c>
      <c r="E100" s="13"/>
      <c r="F100" s="13"/>
      <c r="G100" s="14"/>
    </row>
    <row r="101" spans="1:7" s="5" customFormat="1" ht="12.75">
      <c r="A101" s="29">
        <f t="shared" si="2"/>
        <v>4.129999999999997</v>
      </c>
      <c r="B101" s="15" t="s">
        <v>53</v>
      </c>
      <c r="C101" s="12" t="s">
        <v>10</v>
      </c>
      <c r="D101" s="13">
        <f>4*3*2</f>
        <v>24</v>
      </c>
      <c r="E101" s="13"/>
      <c r="F101" s="13"/>
      <c r="G101" s="14"/>
    </row>
    <row r="102" spans="1:7" s="5" customFormat="1" ht="12.75">
      <c r="A102" s="29">
        <f t="shared" si="2"/>
        <v>4.139999999999997</v>
      </c>
      <c r="B102" s="15" t="s">
        <v>616</v>
      </c>
      <c r="C102" s="12" t="s">
        <v>11</v>
      </c>
      <c r="D102" s="13">
        <v>445.34</v>
      </c>
      <c r="E102" s="13"/>
      <c r="F102" s="13"/>
      <c r="G102" s="14"/>
    </row>
    <row r="103" spans="1:7" s="5" customFormat="1" ht="12.75">
      <c r="A103" s="29">
        <f t="shared" si="2"/>
        <v>4.149999999999997</v>
      </c>
      <c r="B103" s="15" t="s">
        <v>51</v>
      </c>
      <c r="C103" s="12" t="s">
        <v>10</v>
      </c>
      <c r="D103" s="13">
        <f>445.34*6.2</f>
        <v>2761.1079999999997</v>
      </c>
      <c r="E103" s="13"/>
      <c r="F103" s="13"/>
      <c r="G103" s="14"/>
    </row>
    <row r="104" spans="1:7" s="5" customFormat="1" ht="12.75">
      <c r="A104" s="29">
        <f t="shared" si="2"/>
        <v>4.159999999999997</v>
      </c>
      <c r="B104" s="15" t="s">
        <v>52</v>
      </c>
      <c r="C104" s="12" t="s">
        <v>10</v>
      </c>
      <c r="D104" s="13">
        <f>+D103</f>
        <v>2761.1079999999997</v>
      </c>
      <c r="E104" s="13"/>
      <c r="F104" s="13"/>
      <c r="G104" s="14"/>
    </row>
    <row r="105" spans="1:7" s="5" customFormat="1" ht="26.25" thickBot="1">
      <c r="A105" s="29">
        <f t="shared" si="2"/>
        <v>4.169999999999996</v>
      </c>
      <c r="B105" s="15" t="s">
        <v>55</v>
      </c>
      <c r="C105" s="12" t="s">
        <v>10</v>
      </c>
      <c r="D105" s="13">
        <f>+D101*2</f>
        <v>48</v>
      </c>
      <c r="E105" s="13"/>
      <c r="F105" s="13"/>
      <c r="G105" s="14"/>
    </row>
    <row r="106" spans="1:7" s="5" customFormat="1" ht="13.5" thickBot="1">
      <c r="A106" s="29"/>
      <c r="B106" s="15"/>
      <c r="C106" s="12"/>
      <c r="D106" s="13"/>
      <c r="E106" s="71" t="str">
        <f>+B88</f>
        <v>VERJA PERIMETRAL EN MUROS Y COLUMNAS (H=3.00 MT SNP) 445.34ml</v>
      </c>
      <c r="F106" s="72"/>
      <c r="G106" s="16">
        <f>SUM(F71:F105)</f>
        <v>0</v>
      </c>
    </row>
    <row r="107" spans="1:7" s="5" customFormat="1" ht="12.75">
      <c r="A107" s="29"/>
      <c r="B107" s="15"/>
      <c r="C107" s="12"/>
      <c r="D107" s="13"/>
      <c r="E107" s="13"/>
      <c r="F107" s="13"/>
      <c r="G107" s="14"/>
    </row>
    <row r="108" spans="1:7" s="5" customFormat="1" ht="13.5" thickBot="1">
      <c r="A108" s="29"/>
      <c r="B108" s="15"/>
      <c r="C108" s="12"/>
      <c r="D108" s="13"/>
      <c r="E108" s="13"/>
      <c r="F108" s="13"/>
      <c r="G108" s="14"/>
    </row>
    <row r="109" spans="1:7" s="5" customFormat="1" ht="13.5" thickBot="1">
      <c r="A109" s="28">
        <v>5</v>
      </c>
      <c r="B109" s="11" t="s">
        <v>58</v>
      </c>
      <c r="C109" s="12"/>
      <c r="D109" s="13"/>
      <c r="E109" s="13"/>
      <c r="F109" s="13"/>
      <c r="G109" s="14"/>
    </row>
    <row r="110" spans="1:7" s="5" customFormat="1" ht="12.75">
      <c r="A110" s="29">
        <f>+A109+0.01</f>
        <v>5.01</v>
      </c>
      <c r="B110" s="15" t="s">
        <v>59</v>
      </c>
      <c r="C110" s="12" t="s">
        <v>15</v>
      </c>
      <c r="D110" s="13">
        <f>1020*0.6*0.4</f>
        <v>244.8</v>
      </c>
      <c r="E110" s="13"/>
      <c r="F110" s="13"/>
      <c r="G110" s="14"/>
    </row>
    <row r="111" spans="1:7" s="5" customFormat="1" ht="12.75">
      <c r="A111" s="29">
        <f aca="true" t="shared" si="3" ref="A111:A131">+A110+0.01</f>
        <v>5.02</v>
      </c>
      <c r="B111" s="17" t="s">
        <v>60</v>
      </c>
      <c r="C111" s="12" t="s">
        <v>10</v>
      </c>
      <c r="D111" s="13">
        <f>410*0.3*0.6*0.8</f>
        <v>59.04</v>
      </c>
      <c r="E111" s="13"/>
      <c r="F111" s="13"/>
      <c r="G111" s="14"/>
    </row>
    <row r="112" spans="1:7" s="5" customFormat="1" ht="12.75">
      <c r="A112" s="29">
        <f t="shared" si="3"/>
        <v>5.029999999999999</v>
      </c>
      <c r="B112" s="15" t="s">
        <v>61</v>
      </c>
      <c r="C112" s="12" t="s">
        <v>10</v>
      </c>
      <c r="D112" s="13">
        <f>+D111</f>
        <v>59.04</v>
      </c>
      <c r="E112" s="13"/>
      <c r="F112" s="13"/>
      <c r="G112" s="14"/>
    </row>
    <row r="113" spans="1:7" s="5" customFormat="1" ht="12.75">
      <c r="A113" s="29">
        <f t="shared" si="3"/>
        <v>5.039999999999999</v>
      </c>
      <c r="B113" s="15" t="s">
        <v>62</v>
      </c>
      <c r="C113" s="12" t="s">
        <v>16</v>
      </c>
      <c r="D113" s="13">
        <f>32*19*0.5</f>
        <v>304</v>
      </c>
      <c r="E113" s="13"/>
      <c r="F113" s="13"/>
      <c r="G113" s="14"/>
    </row>
    <row r="114" spans="1:7" s="5" customFormat="1" ht="25.5">
      <c r="A114" s="29">
        <f t="shared" si="3"/>
        <v>5.049999999999999</v>
      </c>
      <c r="B114" s="15" t="s">
        <v>447</v>
      </c>
      <c r="C114" s="12" t="s">
        <v>0</v>
      </c>
      <c r="D114" s="13">
        <f>32*19*0.1</f>
        <v>60.800000000000004</v>
      </c>
      <c r="E114" s="13"/>
      <c r="F114" s="13"/>
      <c r="G114" s="14"/>
    </row>
    <row r="115" spans="1:7" s="5" customFormat="1" ht="12.75">
      <c r="A115" s="29">
        <f t="shared" si="3"/>
        <v>5.059999999999999</v>
      </c>
      <c r="B115" s="15" t="s">
        <v>63</v>
      </c>
      <c r="C115" s="12" t="s">
        <v>13</v>
      </c>
      <c r="D115" s="13">
        <f>2*1.2*2*0.25</f>
        <v>1.2</v>
      </c>
      <c r="E115" s="13"/>
      <c r="F115" s="13"/>
      <c r="G115" s="14"/>
    </row>
    <row r="116" spans="1:7" s="5" customFormat="1" ht="12.75">
      <c r="A116" s="29">
        <f t="shared" si="3"/>
        <v>5.0699999999999985</v>
      </c>
      <c r="B116" s="15" t="s">
        <v>64</v>
      </c>
      <c r="C116" s="12" t="s">
        <v>68</v>
      </c>
      <c r="D116" s="13">
        <f>2.6*0.6*0.4*2</f>
        <v>1.2480000000000002</v>
      </c>
      <c r="E116" s="13"/>
      <c r="F116" s="13"/>
      <c r="G116" s="14"/>
    </row>
    <row r="117" spans="1:7" s="5" customFormat="1" ht="12.75">
      <c r="A117" s="29">
        <f t="shared" si="3"/>
        <v>5.079999999999998</v>
      </c>
      <c r="B117" s="15" t="s">
        <v>65</v>
      </c>
      <c r="C117" s="12" t="s">
        <v>68</v>
      </c>
      <c r="D117" s="13">
        <f>1.8*0.3*0.25*2</f>
        <v>0.27</v>
      </c>
      <c r="E117" s="13"/>
      <c r="F117" s="13"/>
      <c r="G117" s="14"/>
    </row>
    <row r="118" spans="1:7" s="5" customFormat="1" ht="12.75">
      <c r="A118" s="29">
        <f t="shared" si="3"/>
        <v>5.089999999999998</v>
      </c>
      <c r="B118" s="15" t="s">
        <v>67</v>
      </c>
      <c r="C118" s="12" t="s">
        <v>10</v>
      </c>
      <c r="D118" s="13">
        <f>2*2.8+(1*2.8*2)</f>
        <v>11.2</v>
      </c>
      <c r="E118" s="13"/>
      <c r="F118" s="13"/>
      <c r="G118" s="14"/>
    </row>
    <row r="119" spans="1:7" s="5" customFormat="1" ht="12.75">
      <c r="A119" s="29">
        <f t="shared" si="3"/>
        <v>5.099999999999998</v>
      </c>
      <c r="B119" s="15" t="s">
        <v>66</v>
      </c>
      <c r="C119" s="12" t="s">
        <v>11</v>
      </c>
      <c r="D119" s="13">
        <f>3.6*4*2</f>
        <v>28.8</v>
      </c>
      <c r="E119" s="13"/>
      <c r="F119" s="13"/>
      <c r="G119" s="14"/>
    </row>
    <row r="120" spans="1:7" s="5" customFormat="1" ht="12.75">
      <c r="A120" s="29">
        <f t="shared" si="3"/>
        <v>5.109999999999998</v>
      </c>
      <c r="B120" s="15" t="s">
        <v>73</v>
      </c>
      <c r="C120" s="12" t="s">
        <v>13</v>
      </c>
      <c r="D120" s="13">
        <v>2</v>
      </c>
      <c r="E120" s="13"/>
      <c r="F120" s="13"/>
      <c r="G120" s="14"/>
    </row>
    <row r="121" spans="1:7" s="5" customFormat="1" ht="12.75">
      <c r="A121" s="29">
        <f t="shared" si="3"/>
        <v>5.119999999999997</v>
      </c>
      <c r="B121" s="15" t="s">
        <v>74</v>
      </c>
      <c r="C121" s="12" t="s">
        <v>13</v>
      </c>
      <c r="D121" s="13">
        <v>2</v>
      </c>
      <c r="E121" s="13"/>
      <c r="F121" s="13"/>
      <c r="G121" s="14"/>
    </row>
    <row r="122" spans="1:7" s="5" customFormat="1" ht="12.75">
      <c r="A122" s="29">
        <f t="shared" si="3"/>
        <v>5.129999999999997</v>
      </c>
      <c r="B122" s="15" t="s">
        <v>70</v>
      </c>
      <c r="C122" s="12" t="s">
        <v>69</v>
      </c>
      <c r="D122" s="13">
        <v>1</v>
      </c>
      <c r="E122" s="13"/>
      <c r="F122" s="13"/>
      <c r="G122" s="14"/>
    </row>
    <row r="123" spans="1:7" s="5" customFormat="1" ht="25.5">
      <c r="A123" s="29">
        <f t="shared" si="3"/>
        <v>5.139999999999997</v>
      </c>
      <c r="B123" s="15" t="s">
        <v>71</v>
      </c>
      <c r="C123" s="12" t="s">
        <v>10</v>
      </c>
      <c r="D123" s="13">
        <f>32*19</f>
        <v>608</v>
      </c>
      <c r="E123" s="13"/>
      <c r="F123" s="13"/>
      <c r="G123" s="14"/>
    </row>
    <row r="124" spans="1:7" s="5" customFormat="1" ht="12.75">
      <c r="A124" s="29">
        <f t="shared" si="3"/>
        <v>5.149999999999997</v>
      </c>
      <c r="B124" s="15" t="s">
        <v>72</v>
      </c>
      <c r="C124" s="12" t="s">
        <v>10</v>
      </c>
      <c r="D124" s="13">
        <v>41.2</v>
      </c>
      <c r="E124" s="13"/>
      <c r="F124" s="13"/>
      <c r="G124" s="14"/>
    </row>
    <row r="125" spans="1:7" s="5" customFormat="1" ht="12.75">
      <c r="A125" s="29">
        <f t="shared" si="3"/>
        <v>5.159999999999997</v>
      </c>
      <c r="B125" s="15" t="s">
        <v>75</v>
      </c>
      <c r="C125" s="12" t="s">
        <v>11</v>
      </c>
      <c r="D125" s="13">
        <f>53.4*2</f>
        <v>106.8</v>
      </c>
      <c r="E125" s="13"/>
      <c r="F125" s="13"/>
      <c r="G125" s="14"/>
    </row>
    <row r="126" spans="1:7" s="5" customFormat="1" ht="12.75">
      <c r="A126" s="29">
        <f t="shared" si="3"/>
        <v>5.169999999999996</v>
      </c>
      <c r="B126" s="15" t="s">
        <v>76</v>
      </c>
      <c r="C126" s="12" t="s">
        <v>16</v>
      </c>
      <c r="D126" s="13">
        <f>53*1.2*0.2</f>
        <v>12.719999999999999</v>
      </c>
      <c r="E126" s="13"/>
      <c r="F126" s="13"/>
      <c r="G126" s="14"/>
    </row>
    <row r="127" spans="1:7" s="5" customFormat="1" ht="25.5">
      <c r="A127" s="29">
        <f t="shared" si="3"/>
        <v>5.179999999999996</v>
      </c>
      <c r="B127" s="15" t="s">
        <v>444</v>
      </c>
      <c r="C127" s="12" t="s">
        <v>0</v>
      </c>
      <c r="D127" s="13">
        <f>125*1.8*0.1</f>
        <v>22.5</v>
      </c>
      <c r="E127" s="13"/>
      <c r="F127" s="13"/>
      <c r="G127" s="14"/>
    </row>
    <row r="128" spans="1:7" s="5" customFormat="1" ht="12.75">
      <c r="A128" s="29">
        <f t="shared" si="3"/>
        <v>5.189999999999996</v>
      </c>
      <c r="B128" s="15" t="s">
        <v>446</v>
      </c>
      <c r="C128" s="12" t="s">
        <v>13</v>
      </c>
      <c r="D128" s="13">
        <v>2</v>
      </c>
      <c r="E128" s="13"/>
      <c r="F128" s="13"/>
      <c r="G128" s="14"/>
    </row>
    <row r="129" spans="1:7" s="5" customFormat="1" ht="12.75">
      <c r="A129" s="29">
        <f t="shared" si="3"/>
        <v>5.199999999999996</v>
      </c>
      <c r="B129" s="15" t="s">
        <v>445</v>
      </c>
      <c r="C129" s="12" t="s">
        <v>0</v>
      </c>
      <c r="D129" s="13">
        <f>9*2*3.4*0.12</f>
        <v>7.343999999999999</v>
      </c>
      <c r="E129" s="13"/>
      <c r="F129" s="13"/>
      <c r="G129" s="14"/>
    </row>
    <row r="130" spans="1:7" s="5" customFormat="1" ht="12.75">
      <c r="A130" s="29">
        <f t="shared" si="3"/>
        <v>5.2099999999999955</v>
      </c>
      <c r="B130" s="15" t="s">
        <v>79</v>
      </c>
      <c r="C130" s="12" t="s">
        <v>10</v>
      </c>
      <c r="D130" s="13">
        <f>18*3.5</f>
        <v>63</v>
      </c>
      <c r="E130" s="13"/>
      <c r="F130" s="13"/>
      <c r="G130" s="14"/>
    </row>
    <row r="131" spans="1:7" s="5" customFormat="1" ht="13.5" thickBot="1">
      <c r="A131" s="29">
        <f t="shared" si="3"/>
        <v>5.219999999999995</v>
      </c>
      <c r="B131" s="15" t="s">
        <v>78</v>
      </c>
      <c r="C131" s="12" t="s">
        <v>10</v>
      </c>
      <c r="D131" s="13">
        <v>63</v>
      </c>
      <c r="E131" s="13"/>
      <c r="F131" s="13"/>
      <c r="G131" s="14"/>
    </row>
    <row r="132" spans="1:7" s="5" customFormat="1" ht="13.5" thickBot="1">
      <c r="A132" s="29"/>
      <c r="B132" s="15"/>
      <c r="C132" s="12"/>
      <c r="D132" s="13"/>
      <c r="E132" s="84" t="str">
        <f>+B109</f>
        <v>CANCHA MIXTA </v>
      </c>
      <c r="F132" s="85"/>
      <c r="G132" s="16">
        <f>SUM(F110:F131)</f>
        <v>0</v>
      </c>
    </row>
    <row r="133" spans="1:7" s="5" customFormat="1" ht="12.75">
      <c r="A133" s="29"/>
      <c r="B133" s="15"/>
      <c r="C133" s="12"/>
      <c r="D133" s="13"/>
      <c r="E133" s="13"/>
      <c r="F133" s="13"/>
      <c r="G133" s="14"/>
    </row>
    <row r="134" spans="1:7" s="5" customFormat="1" ht="13.5" thickBot="1">
      <c r="A134" s="29"/>
      <c r="B134" s="15"/>
      <c r="C134" s="12"/>
      <c r="D134" s="13"/>
      <c r="E134" s="13"/>
      <c r="F134" s="13"/>
      <c r="G134" s="14"/>
    </row>
    <row r="135" spans="1:7" s="5" customFormat="1" ht="13.5" thickBot="1">
      <c r="A135" s="28">
        <v>6</v>
      </c>
      <c r="B135" s="11" t="s">
        <v>440</v>
      </c>
      <c r="C135" s="12"/>
      <c r="D135" s="13"/>
      <c r="E135" s="13"/>
      <c r="F135" s="13"/>
      <c r="G135" s="14"/>
    </row>
    <row r="136" spans="1:7" s="5" customFormat="1" ht="12.75">
      <c r="A136" s="29">
        <f>+A135+0.01</f>
        <v>6.01</v>
      </c>
      <c r="B136" s="15" t="s">
        <v>97</v>
      </c>
      <c r="C136" s="12" t="s">
        <v>0</v>
      </c>
      <c r="D136" s="13">
        <f>2.56*2</f>
        <v>5.12</v>
      </c>
      <c r="E136" s="13"/>
      <c r="F136" s="13"/>
      <c r="G136" s="14"/>
    </row>
    <row r="137" spans="1:7" s="5" customFormat="1" ht="12.75">
      <c r="A137" s="29">
        <f aca="true" t="shared" si="4" ref="A137:A153">+A136+0.01</f>
        <v>6.02</v>
      </c>
      <c r="B137" s="15" t="s">
        <v>102</v>
      </c>
      <c r="C137" s="12" t="s">
        <v>0</v>
      </c>
      <c r="D137" s="13">
        <f>74.6*0.45*0.6</f>
        <v>20.142</v>
      </c>
      <c r="E137" s="13"/>
      <c r="F137" s="13"/>
      <c r="G137" s="14"/>
    </row>
    <row r="138" spans="1:7" s="5" customFormat="1" ht="12.75">
      <c r="A138" s="29">
        <f t="shared" si="4"/>
        <v>6.029999999999999</v>
      </c>
      <c r="B138" s="15" t="s">
        <v>103</v>
      </c>
      <c r="C138" s="12" t="s">
        <v>0</v>
      </c>
      <c r="D138" s="13">
        <f>0.7*0.7*0.3*8</f>
        <v>1.1759999999999997</v>
      </c>
      <c r="E138" s="13"/>
      <c r="F138" s="13"/>
      <c r="G138" s="14"/>
    </row>
    <row r="139" spans="1:7" s="5" customFormat="1" ht="12.75">
      <c r="A139" s="29">
        <f t="shared" si="4"/>
        <v>6.039999999999999</v>
      </c>
      <c r="B139" s="15" t="s">
        <v>104</v>
      </c>
      <c r="C139" s="12" t="s">
        <v>0</v>
      </c>
      <c r="D139" s="13">
        <f>3.4*8*0.25*0.25</f>
        <v>1.7</v>
      </c>
      <c r="E139" s="13"/>
      <c r="F139" s="13"/>
      <c r="G139" s="14"/>
    </row>
    <row r="140" spans="1:7" s="5" customFormat="1" ht="12.75">
      <c r="A140" s="29">
        <f t="shared" si="4"/>
        <v>6.049999999999999</v>
      </c>
      <c r="B140" s="15" t="s">
        <v>43</v>
      </c>
      <c r="C140" s="12" t="s">
        <v>10</v>
      </c>
      <c r="D140" s="13">
        <f>73.2*0.4</f>
        <v>29.28</v>
      </c>
      <c r="E140" s="13"/>
      <c r="F140" s="13"/>
      <c r="G140" s="14"/>
    </row>
    <row r="141" spans="1:7" s="5" customFormat="1" ht="12.75">
      <c r="A141" s="29">
        <f t="shared" si="4"/>
        <v>6.059999999999999</v>
      </c>
      <c r="B141" s="15" t="s">
        <v>105</v>
      </c>
      <c r="C141" s="12" t="s">
        <v>10</v>
      </c>
      <c r="D141" s="13">
        <f>73.2*0.2</f>
        <v>14.64</v>
      </c>
      <c r="E141" s="13"/>
      <c r="F141" s="13"/>
      <c r="G141" s="14"/>
    </row>
    <row r="142" spans="1:7" s="5" customFormat="1" ht="12.75">
      <c r="A142" s="29">
        <f t="shared" si="4"/>
        <v>6.0699999999999985</v>
      </c>
      <c r="B142" s="15" t="s">
        <v>106</v>
      </c>
      <c r="C142" s="12" t="s">
        <v>0</v>
      </c>
      <c r="D142" s="13">
        <f>83.6*0.2*0.2</f>
        <v>3.344</v>
      </c>
      <c r="E142" s="13"/>
      <c r="F142" s="13"/>
      <c r="G142" s="14"/>
    </row>
    <row r="143" spans="1:7" s="5" customFormat="1" ht="12.75">
      <c r="A143" s="29">
        <f t="shared" si="4"/>
        <v>6.079999999999998</v>
      </c>
      <c r="B143" s="15" t="s">
        <v>114</v>
      </c>
      <c r="C143" s="12" t="s">
        <v>10</v>
      </c>
      <c r="D143" s="13">
        <f>9*9*2</f>
        <v>162</v>
      </c>
      <c r="E143" s="13"/>
      <c r="F143" s="13"/>
      <c r="G143" s="14"/>
    </row>
    <row r="144" spans="1:7" s="5" customFormat="1" ht="12.75">
      <c r="A144" s="29">
        <f t="shared" si="4"/>
        <v>6.089999999999998</v>
      </c>
      <c r="B144" s="15" t="s">
        <v>116</v>
      </c>
      <c r="C144" s="12" t="s">
        <v>117</v>
      </c>
      <c r="D144" s="13">
        <v>2</v>
      </c>
      <c r="E144" s="13"/>
      <c r="F144" s="13"/>
      <c r="G144" s="14"/>
    </row>
    <row r="145" spans="1:7" s="5" customFormat="1" ht="12.75">
      <c r="A145" s="29">
        <f t="shared" si="4"/>
        <v>6.099999999999998</v>
      </c>
      <c r="B145" s="15" t="s">
        <v>115</v>
      </c>
      <c r="C145" s="12" t="s">
        <v>10</v>
      </c>
      <c r="D145" s="13">
        <f>9*9*2</f>
        <v>162</v>
      </c>
      <c r="E145" s="13"/>
      <c r="F145" s="13"/>
      <c r="G145" s="14"/>
    </row>
    <row r="146" spans="1:7" s="5" customFormat="1" ht="12.75">
      <c r="A146" s="29">
        <f t="shared" si="4"/>
        <v>6.109999999999998</v>
      </c>
      <c r="B146" s="15" t="s">
        <v>110</v>
      </c>
      <c r="C146" s="12" t="s">
        <v>10</v>
      </c>
      <c r="D146" s="13">
        <f>+D141+(D142/0.2/0.2)</f>
        <v>98.24</v>
      </c>
      <c r="E146" s="13"/>
      <c r="F146" s="13"/>
      <c r="G146" s="14"/>
    </row>
    <row r="147" spans="1:7" s="5" customFormat="1" ht="12.75">
      <c r="A147" s="29">
        <f t="shared" si="4"/>
        <v>6.119999999999997</v>
      </c>
      <c r="B147" s="15" t="s">
        <v>111</v>
      </c>
      <c r="C147" s="12" t="s">
        <v>10</v>
      </c>
      <c r="D147" s="13">
        <f>+D146</f>
        <v>98.24</v>
      </c>
      <c r="E147" s="13"/>
      <c r="F147" s="13"/>
      <c r="G147" s="14"/>
    </row>
    <row r="148" spans="1:7" s="5" customFormat="1" ht="12.75">
      <c r="A148" s="29">
        <f t="shared" si="4"/>
        <v>6.129999999999997</v>
      </c>
      <c r="B148" s="15" t="s">
        <v>107</v>
      </c>
      <c r="C148" s="12" t="s">
        <v>11</v>
      </c>
      <c r="D148" s="13">
        <f>73*4</f>
        <v>292</v>
      </c>
      <c r="E148" s="13"/>
      <c r="F148" s="13"/>
      <c r="G148" s="14"/>
    </row>
    <row r="149" spans="1:7" s="5" customFormat="1" ht="12.75">
      <c r="A149" s="29">
        <f t="shared" si="4"/>
        <v>6.139999999999997</v>
      </c>
      <c r="B149" s="15" t="s">
        <v>443</v>
      </c>
      <c r="C149" s="12" t="s">
        <v>0</v>
      </c>
      <c r="D149" s="13">
        <f>7.1*7.1*2*0.1</f>
        <v>10.082</v>
      </c>
      <c r="E149" s="13"/>
      <c r="F149" s="13"/>
      <c r="G149" s="14"/>
    </row>
    <row r="150" spans="1:7" s="5" customFormat="1" ht="12.75">
      <c r="A150" s="29">
        <f t="shared" si="4"/>
        <v>6.149999999999997</v>
      </c>
      <c r="B150" s="15" t="s">
        <v>108</v>
      </c>
      <c r="C150" s="12" t="s">
        <v>0</v>
      </c>
      <c r="D150" s="13">
        <f>+D149*0.25</f>
        <v>2.5205</v>
      </c>
      <c r="E150" s="13"/>
      <c r="F150" s="13"/>
      <c r="G150" s="14"/>
    </row>
    <row r="151" spans="1:7" s="5" customFormat="1" ht="12.75">
      <c r="A151" s="29">
        <f t="shared" si="4"/>
        <v>6.159999999999997</v>
      </c>
      <c r="B151" s="15" t="s">
        <v>109</v>
      </c>
      <c r="C151" s="12" t="s">
        <v>10</v>
      </c>
      <c r="D151" s="13">
        <f>+D147</f>
        <v>98.24</v>
      </c>
      <c r="E151" s="13"/>
      <c r="F151" s="13"/>
      <c r="G151" s="14"/>
    </row>
    <row r="152" spans="1:7" s="5" customFormat="1" ht="12.75">
      <c r="A152" s="29">
        <f t="shared" si="4"/>
        <v>6.169999999999996</v>
      </c>
      <c r="B152" s="15" t="s">
        <v>113</v>
      </c>
      <c r="C152" s="12" t="s">
        <v>13</v>
      </c>
      <c r="D152" s="13">
        <v>4</v>
      </c>
      <c r="E152" s="13"/>
      <c r="F152" s="13"/>
      <c r="G152" s="14"/>
    </row>
    <row r="153" spans="1:7" s="5" customFormat="1" ht="12.75">
      <c r="A153" s="29">
        <f t="shared" si="4"/>
        <v>6.179999999999996</v>
      </c>
      <c r="B153" s="15" t="s">
        <v>112</v>
      </c>
      <c r="C153" s="12" t="s">
        <v>13</v>
      </c>
      <c r="D153" s="13">
        <v>2</v>
      </c>
      <c r="E153" s="13"/>
      <c r="F153" s="13"/>
      <c r="G153" s="14"/>
    </row>
    <row r="154" spans="1:7" s="5" customFormat="1" ht="13.5" thickBot="1">
      <c r="A154" s="29"/>
      <c r="B154" s="15"/>
      <c r="C154" s="12"/>
      <c r="D154" s="13"/>
      <c r="E154" s="13"/>
      <c r="F154" s="13"/>
      <c r="G154" s="14"/>
    </row>
    <row r="155" spans="1:7" s="5" customFormat="1" ht="13.5" thickBot="1">
      <c r="A155" s="29"/>
      <c r="B155" s="15"/>
      <c r="C155" s="12"/>
      <c r="D155" s="13"/>
      <c r="E155" s="84" t="str">
        <f>+B135</f>
        <v>GACEBOS 7.10x7.10  (2 Unds)</v>
      </c>
      <c r="F155" s="85"/>
      <c r="G155" s="16">
        <f>SUM(F136:F153)</f>
        <v>0</v>
      </c>
    </row>
    <row r="156" spans="1:7" s="5" customFormat="1" ht="12.75">
      <c r="A156" s="29"/>
      <c r="B156" s="15"/>
      <c r="C156" s="12"/>
      <c r="D156" s="13"/>
      <c r="E156" s="13"/>
      <c r="F156" s="13"/>
      <c r="G156" s="14"/>
    </row>
    <row r="157" spans="1:7" s="5" customFormat="1" ht="13.5" thickBot="1">
      <c r="A157" s="29"/>
      <c r="B157" s="15"/>
      <c r="C157" s="12"/>
      <c r="D157" s="13"/>
      <c r="E157" s="13"/>
      <c r="F157" s="13"/>
      <c r="G157" s="14"/>
    </row>
    <row r="158" spans="1:7" s="5" customFormat="1" ht="13.5" thickBot="1">
      <c r="A158" s="28">
        <v>7</v>
      </c>
      <c r="B158" s="11" t="s">
        <v>460</v>
      </c>
      <c r="C158" s="12"/>
      <c r="D158" s="13"/>
      <c r="E158" s="13"/>
      <c r="F158" s="13"/>
      <c r="G158" s="14"/>
    </row>
    <row r="159" spans="1:7" s="5" customFormat="1" ht="12.75">
      <c r="A159" s="29">
        <f aca="true" t="shared" si="5" ref="A159:A165">+A158+0.01</f>
        <v>7.01</v>
      </c>
      <c r="B159" s="15" t="s">
        <v>463</v>
      </c>
      <c r="C159" s="12" t="s">
        <v>50</v>
      </c>
      <c r="D159" s="13">
        <f>640.6*0.4</f>
        <v>256.24</v>
      </c>
      <c r="E159" s="13"/>
      <c r="F159" s="13"/>
      <c r="G159" s="14"/>
    </row>
    <row r="160" spans="1:7" s="5" customFormat="1" ht="12.75">
      <c r="A160" s="29">
        <f t="shared" si="5"/>
        <v>7.02</v>
      </c>
      <c r="B160" s="15" t="s">
        <v>462</v>
      </c>
      <c r="C160" s="12" t="s">
        <v>16</v>
      </c>
      <c r="D160" s="13">
        <f>+D159*1.2</f>
        <v>307.488</v>
      </c>
      <c r="E160" s="13"/>
      <c r="F160" s="13"/>
      <c r="G160" s="14"/>
    </row>
    <row r="161" spans="1:7" s="5" customFormat="1" ht="25.5">
      <c r="A161" s="29">
        <f t="shared" si="5"/>
        <v>7.029999999999999</v>
      </c>
      <c r="B161" s="15" t="s">
        <v>304</v>
      </c>
      <c r="C161" s="12" t="s">
        <v>0</v>
      </c>
      <c r="D161" s="13">
        <f>640*0.12</f>
        <v>76.8</v>
      </c>
      <c r="E161" s="13"/>
      <c r="F161" s="13"/>
      <c r="G161" s="14"/>
    </row>
    <row r="162" spans="1:7" s="5" customFormat="1" ht="12.75">
      <c r="A162" s="29">
        <f t="shared" si="5"/>
        <v>7.039999999999999</v>
      </c>
      <c r="B162" s="15" t="s">
        <v>119</v>
      </c>
      <c r="C162" s="12" t="s">
        <v>11</v>
      </c>
      <c r="D162" s="13">
        <f>40+13+6.7</f>
        <v>59.7</v>
      </c>
      <c r="E162" s="13"/>
      <c r="F162" s="13"/>
      <c r="G162" s="14"/>
    </row>
    <row r="163" spans="1:7" s="5" customFormat="1" ht="12.75">
      <c r="A163" s="29">
        <f t="shared" si="5"/>
        <v>7.049999999999999</v>
      </c>
      <c r="B163" s="15" t="s">
        <v>305</v>
      </c>
      <c r="C163" s="12" t="s">
        <v>118</v>
      </c>
      <c r="D163" s="13">
        <v>9</v>
      </c>
      <c r="E163" s="13"/>
      <c r="F163" s="13"/>
      <c r="G163" s="14"/>
    </row>
    <row r="164" spans="1:7" s="5" customFormat="1" ht="25.5">
      <c r="A164" s="29">
        <f t="shared" si="5"/>
        <v>7.059999999999999</v>
      </c>
      <c r="B164" s="15" t="s">
        <v>307</v>
      </c>
      <c r="C164" s="12" t="s">
        <v>12</v>
      </c>
      <c r="D164" s="13">
        <v>1</v>
      </c>
      <c r="E164" s="13"/>
      <c r="F164" s="13"/>
      <c r="G164" s="14"/>
    </row>
    <row r="165" spans="1:7" s="5" customFormat="1" ht="13.5" thickBot="1">
      <c r="A165" s="29">
        <f t="shared" si="5"/>
        <v>7.0699999999999985</v>
      </c>
      <c r="B165" s="15" t="s">
        <v>306</v>
      </c>
      <c r="C165" s="12" t="s">
        <v>12</v>
      </c>
      <c r="D165" s="13">
        <v>1</v>
      </c>
      <c r="E165" s="13"/>
      <c r="F165" s="13"/>
      <c r="G165" s="14"/>
    </row>
    <row r="166" spans="1:7" s="5" customFormat="1" ht="13.5" thickBot="1">
      <c r="A166" s="29"/>
      <c r="B166" s="15"/>
      <c r="C166" s="12"/>
      <c r="D166" s="13"/>
      <c r="E166" s="71" t="str">
        <f>+B158</f>
        <v>PARQUEO  (640.60 mt²)</v>
      </c>
      <c r="F166" s="72"/>
      <c r="G166" s="16">
        <f>SUM(F159:F165)</f>
        <v>0</v>
      </c>
    </row>
    <row r="167" spans="1:7" s="5" customFormat="1" ht="12.75">
      <c r="A167" s="29"/>
      <c r="B167" s="15"/>
      <c r="C167" s="12"/>
      <c r="D167" s="13"/>
      <c r="E167" s="13"/>
      <c r="F167" s="13"/>
      <c r="G167" s="14"/>
    </row>
    <row r="168" spans="1:7" s="5" customFormat="1" ht="13.5" thickBot="1">
      <c r="A168" s="29"/>
      <c r="B168" s="15"/>
      <c r="C168" s="12"/>
      <c r="D168" s="13"/>
      <c r="E168" s="13"/>
      <c r="F168" s="13"/>
      <c r="G168" s="14"/>
    </row>
    <row r="169" spans="1:7" s="5" customFormat="1" ht="13.5" thickBot="1">
      <c r="A169" s="28">
        <v>8</v>
      </c>
      <c r="B169" s="11" t="s">
        <v>120</v>
      </c>
      <c r="C169" s="12"/>
      <c r="D169" s="13"/>
      <c r="E169" s="13"/>
      <c r="F169" s="13"/>
      <c r="G169" s="14"/>
    </row>
    <row r="170" spans="1:7" s="5" customFormat="1" ht="12.75">
      <c r="A170" s="29">
        <f>+A169+0.01</f>
        <v>8.01</v>
      </c>
      <c r="B170" s="18" t="s">
        <v>395</v>
      </c>
      <c r="C170" s="19" t="s">
        <v>10</v>
      </c>
      <c r="D170" s="20">
        <v>657.533333333333</v>
      </c>
      <c r="E170" s="13"/>
      <c r="F170" s="13"/>
      <c r="G170" s="14"/>
    </row>
    <row r="171" spans="1:7" s="5" customFormat="1" ht="15">
      <c r="A171" s="29"/>
      <c r="B171" s="21" t="s">
        <v>471</v>
      </c>
      <c r="C171" s="19"/>
      <c r="D171" s="20"/>
      <c r="E171" s="13"/>
      <c r="F171" s="13"/>
      <c r="G171" s="14"/>
    </row>
    <row r="172" spans="1:7" s="5" customFormat="1" ht="12.75">
      <c r="A172" s="29">
        <v>8.02</v>
      </c>
      <c r="B172" s="18" t="s">
        <v>121</v>
      </c>
      <c r="C172" s="19" t="s">
        <v>0</v>
      </c>
      <c r="D172" s="20">
        <v>73.494</v>
      </c>
      <c r="E172" s="13"/>
      <c r="F172" s="13"/>
      <c r="G172" s="14"/>
    </row>
    <row r="173" spans="1:7" s="5" customFormat="1" ht="12.75">
      <c r="A173" s="29">
        <f aca="true" t="shared" si="6" ref="A173:A236">+A172+0.01</f>
        <v>8.03</v>
      </c>
      <c r="B173" s="18" t="s">
        <v>122</v>
      </c>
      <c r="C173" s="19" t="s">
        <v>0</v>
      </c>
      <c r="D173" s="20">
        <v>3.38</v>
      </c>
      <c r="E173" s="13"/>
      <c r="F173" s="13"/>
      <c r="G173" s="14"/>
    </row>
    <row r="174" spans="1:7" s="5" customFormat="1" ht="12.75">
      <c r="A174" s="29">
        <f t="shared" si="6"/>
        <v>8.04</v>
      </c>
      <c r="B174" s="18" t="s">
        <v>123</v>
      </c>
      <c r="C174" s="19" t="s">
        <v>0</v>
      </c>
      <c r="D174" s="20">
        <v>7.2</v>
      </c>
      <c r="E174" s="13"/>
      <c r="F174" s="13"/>
      <c r="G174" s="14"/>
    </row>
    <row r="175" spans="1:7" s="5" customFormat="1" ht="12.75">
      <c r="A175" s="29">
        <f t="shared" si="6"/>
        <v>8.049999999999999</v>
      </c>
      <c r="B175" s="18" t="s">
        <v>124</v>
      </c>
      <c r="C175" s="19" t="s">
        <v>0</v>
      </c>
      <c r="D175" s="20">
        <v>2</v>
      </c>
      <c r="E175" s="13"/>
      <c r="F175" s="13"/>
      <c r="G175" s="14"/>
    </row>
    <row r="176" spans="1:7" s="5" customFormat="1" ht="12.75">
      <c r="A176" s="29">
        <f t="shared" si="6"/>
        <v>8.059999999999999</v>
      </c>
      <c r="B176" s="18" t="s">
        <v>125</v>
      </c>
      <c r="C176" s="19" t="s">
        <v>0</v>
      </c>
      <c r="D176" s="20">
        <v>5.76</v>
      </c>
      <c r="E176" s="13"/>
      <c r="F176" s="13"/>
      <c r="G176" s="14"/>
    </row>
    <row r="177" spans="1:7" s="5" customFormat="1" ht="12.75">
      <c r="A177" s="29">
        <f t="shared" si="6"/>
        <v>8.069999999999999</v>
      </c>
      <c r="B177" s="18" t="s">
        <v>126</v>
      </c>
      <c r="C177" s="19" t="s">
        <v>0</v>
      </c>
      <c r="D177" s="20">
        <v>21.6</v>
      </c>
      <c r="E177" s="13"/>
      <c r="F177" s="13"/>
      <c r="G177" s="14"/>
    </row>
    <row r="178" spans="1:7" s="5" customFormat="1" ht="12.75">
      <c r="A178" s="29">
        <f t="shared" si="6"/>
        <v>8.079999999999998</v>
      </c>
      <c r="B178" s="18" t="s">
        <v>127</v>
      </c>
      <c r="C178" s="19" t="s">
        <v>0</v>
      </c>
      <c r="D178" s="20">
        <v>56</v>
      </c>
      <c r="E178" s="13"/>
      <c r="F178" s="13"/>
      <c r="G178" s="14"/>
    </row>
    <row r="179" spans="1:7" s="5" customFormat="1" ht="12.75">
      <c r="A179" s="29">
        <f t="shared" si="6"/>
        <v>8.089999999999998</v>
      </c>
      <c r="B179" s="18" t="s">
        <v>128</v>
      </c>
      <c r="C179" s="19" t="s">
        <v>0</v>
      </c>
      <c r="D179" s="20">
        <v>3.3</v>
      </c>
      <c r="E179" s="13"/>
      <c r="F179" s="13"/>
      <c r="G179" s="14"/>
    </row>
    <row r="180" spans="1:7" s="5" customFormat="1" ht="12.75">
      <c r="A180" s="29">
        <f t="shared" si="6"/>
        <v>8.099999999999998</v>
      </c>
      <c r="B180" s="18" t="s">
        <v>129</v>
      </c>
      <c r="C180" s="19" t="s">
        <v>0</v>
      </c>
      <c r="D180" s="20">
        <v>8.96</v>
      </c>
      <c r="E180" s="13"/>
      <c r="F180" s="13"/>
      <c r="G180" s="14"/>
    </row>
    <row r="181" spans="1:7" s="5" customFormat="1" ht="12.75">
      <c r="A181" s="29">
        <f t="shared" si="6"/>
        <v>8.109999999999998</v>
      </c>
      <c r="B181" s="18" t="s">
        <v>130</v>
      </c>
      <c r="C181" s="19" t="s">
        <v>0</v>
      </c>
      <c r="D181" s="20">
        <v>5.6</v>
      </c>
      <c r="E181" s="13"/>
      <c r="F181" s="13"/>
      <c r="G181" s="14"/>
    </row>
    <row r="182" spans="1:7" s="5" customFormat="1" ht="15">
      <c r="A182" s="29"/>
      <c r="B182" s="21" t="s">
        <v>205</v>
      </c>
      <c r="C182" s="19"/>
      <c r="D182" s="20"/>
      <c r="E182" s="13"/>
      <c r="F182" s="13"/>
      <c r="G182" s="14"/>
    </row>
    <row r="183" spans="1:7" s="5" customFormat="1" ht="12.75">
      <c r="A183" s="29">
        <v>8.12</v>
      </c>
      <c r="B183" s="18" t="s">
        <v>207</v>
      </c>
      <c r="C183" s="19" t="s">
        <v>16</v>
      </c>
      <c r="D183" s="20">
        <f>SUM(D172:D182)*0.3</f>
        <v>56.1882</v>
      </c>
      <c r="E183" s="13"/>
      <c r="F183" s="13"/>
      <c r="G183" s="14"/>
    </row>
    <row r="184" spans="1:7" s="5" customFormat="1" ht="25.5">
      <c r="A184" s="29">
        <f t="shared" si="6"/>
        <v>8.129999999999999</v>
      </c>
      <c r="B184" s="18" t="s">
        <v>209</v>
      </c>
      <c r="C184" s="19" t="s">
        <v>16</v>
      </c>
      <c r="D184" s="20">
        <f>(392.7*0.3)</f>
        <v>117.80999999999999</v>
      </c>
      <c r="E184" s="13"/>
      <c r="F184" s="13"/>
      <c r="G184" s="14"/>
    </row>
    <row r="185" spans="1:7" s="5" customFormat="1" ht="12.75">
      <c r="A185" s="29">
        <f t="shared" si="6"/>
        <v>8.139999999999999</v>
      </c>
      <c r="B185" s="18" t="s">
        <v>208</v>
      </c>
      <c r="C185" s="19" t="s">
        <v>50</v>
      </c>
      <c r="D185" s="20">
        <f>87.29*1.25</f>
        <v>109.11250000000001</v>
      </c>
      <c r="E185" s="13"/>
      <c r="F185" s="13"/>
      <c r="G185" s="14"/>
    </row>
    <row r="186" spans="1:7" s="5" customFormat="1" ht="15">
      <c r="A186" s="29"/>
      <c r="B186" s="21" t="s">
        <v>220</v>
      </c>
      <c r="C186" s="19"/>
      <c r="D186" s="20"/>
      <c r="E186" s="13"/>
      <c r="F186" s="13"/>
      <c r="G186" s="14"/>
    </row>
    <row r="187" spans="1:7" s="5" customFormat="1" ht="12.75">
      <c r="A187" s="29">
        <v>8.15</v>
      </c>
      <c r="B187" s="18" t="s">
        <v>131</v>
      </c>
      <c r="C187" s="19" t="s">
        <v>0</v>
      </c>
      <c r="D187" s="20">
        <v>18.3735</v>
      </c>
      <c r="E187" s="13"/>
      <c r="F187" s="13"/>
      <c r="G187" s="14"/>
    </row>
    <row r="188" spans="1:7" s="5" customFormat="1" ht="12.75">
      <c r="A188" s="29">
        <f t="shared" si="6"/>
        <v>8.16</v>
      </c>
      <c r="B188" s="22" t="s">
        <v>210</v>
      </c>
      <c r="C188" s="19" t="s">
        <v>0</v>
      </c>
      <c r="D188" s="20">
        <v>1.014</v>
      </c>
      <c r="E188" s="13"/>
      <c r="F188" s="13"/>
      <c r="G188" s="14"/>
    </row>
    <row r="189" spans="1:7" s="5" customFormat="1" ht="12.75">
      <c r="A189" s="29">
        <f t="shared" si="6"/>
        <v>8.17</v>
      </c>
      <c r="B189" s="22" t="s">
        <v>211</v>
      </c>
      <c r="C189" s="19" t="s">
        <v>0</v>
      </c>
      <c r="D189" s="20">
        <v>2.88</v>
      </c>
      <c r="E189" s="13"/>
      <c r="F189" s="13"/>
      <c r="G189" s="14"/>
    </row>
    <row r="190" spans="1:7" s="5" customFormat="1" ht="12.75">
      <c r="A190" s="29">
        <f t="shared" si="6"/>
        <v>8.18</v>
      </c>
      <c r="B190" s="22" t="s">
        <v>212</v>
      </c>
      <c r="C190" s="19" t="s">
        <v>0</v>
      </c>
      <c r="D190" s="20">
        <v>0.8</v>
      </c>
      <c r="E190" s="13"/>
      <c r="F190" s="13"/>
      <c r="G190" s="14"/>
    </row>
    <row r="191" spans="1:7" s="5" customFormat="1" ht="12.75">
      <c r="A191" s="29">
        <f t="shared" si="6"/>
        <v>8.19</v>
      </c>
      <c r="B191" s="22" t="s">
        <v>213</v>
      </c>
      <c r="C191" s="19" t="s">
        <v>0</v>
      </c>
      <c r="D191" s="20">
        <v>2.304</v>
      </c>
      <c r="E191" s="13"/>
      <c r="F191" s="13"/>
      <c r="G191" s="14"/>
    </row>
    <row r="192" spans="1:7" s="5" customFormat="1" ht="12.75">
      <c r="A192" s="29">
        <f t="shared" si="6"/>
        <v>8.2</v>
      </c>
      <c r="B192" s="22" t="s">
        <v>214</v>
      </c>
      <c r="C192" s="19" t="s">
        <v>0</v>
      </c>
      <c r="D192" s="20">
        <v>8.64</v>
      </c>
      <c r="E192" s="13"/>
      <c r="F192" s="13"/>
      <c r="G192" s="14"/>
    </row>
    <row r="193" spans="1:7" s="5" customFormat="1" ht="12.75">
      <c r="A193" s="29">
        <f t="shared" si="6"/>
        <v>8.209999999999999</v>
      </c>
      <c r="B193" s="18" t="s">
        <v>215</v>
      </c>
      <c r="C193" s="19" t="s">
        <v>0</v>
      </c>
      <c r="D193" s="20">
        <v>22.4</v>
      </c>
      <c r="E193" s="13"/>
      <c r="F193" s="13"/>
      <c r="G193" s="14"/>
    </row>
    <row r="194" spans="1:7" s="5" customFormat="1" ht="12.75">
      <c r="A194" s="29">
        <f t="shared" si="6"/>
        <v>8.219999999999999</v>
      </c>
      <c r="B194" s="18" t="s">
        <v>216</v>
      </c>
      <c r="C194" s="19" t="s">
        <v>0</v>
      </c>
      <c r="D194" s="20">
        <v>1.98</v>
      </c>
      <c r="E194" s="13"/>
      <c r="F194" s="13"/>
      <c r="G194" s="14"/>
    </row>
    <row r="195" spans="1:7" s="5" customFormat="1" ht="12.75">
      <c r="A195" s="29">
        <f t="shared" si="6"/>
        <v>8.229999999999999</v>
      </c>
      <c r="B195" s="18" t="s">
        <v>217</v>
      </c>
      <c r="C195" s="19" t="s">
        <v>0</v>
      </c>
      <c r="D195" s="20">
        <v>3.584</v>
      </c>
      <c r="E195" s="13"/>
      <c r="F195" s="13"/>
      <c r="G195" s="14"/>
    </row>
    <row r="196" spans="1:7" s="5" customFormat="1" ht="12.75">
      <c r="A196" s="29">
        <f t="shared" si="6"/>
        <v>8.239999999999998</v>
      </c>
      <c r="B196" s="18" t="s">
        <v>218</v>
      </c>
      <c r="C196" s="19" t="s">
        <v>0</v>
      </c>
      <c r="D196" s="20">
        <v>4.48</v>
      </c>
      <c r="E196" s="13"/>
      <c r="F196" s="13"/>
      <c r="G196" s="14"/>
    </row>
    <row r="197" spans="1:7" s="5" customFormat="1" ht="12.75">
      <c r="A197" s="29">
        <f t="shared" si="6"/>
        <v>8.249999999999998</v>
      </c>
      <c r="B197" s="18" t="s">
        <v>219</v>
      </c>
      <c r="C197" s="19" t="s">
        <v>0</v>
      </c>
      <c r="D197" s="20">
        <v>4.896</v>
      </c>
      <c r="E197" s="13"/>
      <c r="F197" s="13"/>
      <c r="G197" s="14"/>
    </row>
    <row r="198" spans="1:7" s="5" customFormat="1" ht="12.75">
      <c r="A198" s="29">
        <f t="shared" si="6"/>
        <v>8.259999999999998</v>
      </c>
      <c r="B198" s="18" t="s">
        <v>221</v>
      </c>
      <c r="C198" s="19" t="s">
        <v>0</v>
      </c>
      <c r="D198" s="20">
        <v>0.576</v>
      </c>
      <c r="E198" s="13"/>
      <c r="F198" s="13"/>
      <c r="G198" s="14"/>
    </row>
    <row r="199" spans="1:7" s="5" customFormat="1" ht="12.75">
      <c r="A199" s="29">
        <f t="shared" si="6"/>
        <v>8.269999999999998</v>
      </c>
      <c r="B199" s="18" t="s">
        <v>222</v>
      </c>
      <c r="C199" s="19" t="s">
        <v>0</v>
      </c>
      <c r="D199" s="20">
        <v>2.166</v>
      </c>
      <c r="E199" s="13"/>
      <c r="F199" s="13"/>
      <c r="G199" s="14"/>
    </row>
    <row r="200" spans="1:7" s="5" customFormat="1" ht="12.75">
      <c r="A200" s="29">
        <f t="shared" si="6"/>
        <v>8.279999999999998</v>
      </c>
      <c r="B200" s="18" t="s">
        <v>223</v>
      </c>
      <c r="C200" s="19" t="s">
        <v>0</v>
      </c>
      <c r="D200" s="20">
        <v>0.684</v>
      </c>
      <c r="E200" s="13"/>
      <c r="F200" s="13"/>
      <c r="G200" s="14"/>
    </row>
    <row r="201" spans="1:7" s="5" customFormat="1" ht="12.75">
      <c r="A201" s="29">
        <f t="shared" si="6"/>
        <v>8.289999999999997</v>
      </c>
      <c r="B201" s="18" t="s">
        <v>224</v>
      </c>
      <c r="C201" s="19" t="s">
        <v>0</v>
      </c>
      <c r="D201" s="20">
        <v>1.368</v>
      </c>
      <c r="E201" s="13"/>
      <c r="F201" s="13"/>
      <c r="G201" s="14"/>
    </row>
    <row r="202" spans="1:7" s="5" customFormat="1" ht="12.75">
      <c r="A202" s="29">
        <f t="shared" si="6"/>
        <v>8.299999999999997</v>
      </c>
      <c r="B202" s="18" t="s">
        <v>225</v>
      </c>
      <c r="C202" s="19" t="s">
        <v>0</v>
      </c>
      <c r="D202" s="20">
        <v>5.472</v>
      </c>
      <c r="E202" s="13"/>
      <c r="F202" s="13"/>
      <c r="G202" s="14"/>
    </row>
    <row r="203" spans="1:7" s="5" customFormat="1" ht="12.75">
      <c r="A203" s="29">
        <f t="shared" si="6"/>
        <v>8.309999999999997</v>
      </c>
      <c r="B203" s="18" t="s">
        <v>226</v>
      </c>
      <c r="C203" s="19" t="s">
        <v>0</v>
      </c>
      <c r="D203" s="20">
        <v>9.576</v>
      </c>
      <c r="E203" s="13"/>
      <c r="F203" s="13"/>
      <c r="G203" s="14"/>
    </row>
    <row r="204" spans="1:7" s="5" customFormat="1" ht="12.75">
      <c r="A204" s="29">
        <f t="shared" si="6"/>
        <v>8.319999999999997</v>
      </c>
      <c r="B204" s="18" t="s">
        <v>227</v>
      </c>
      <c r="C204" s="19" t="s">
        <v>0</v>
      </c>
      <c r="D204" s="20">
        <v>1.368</v>
      </c>
      <c r="E204" s="13"/>
      <c r="F204" s="13"/>
      <c r="G204" s="14"/>
    </row>
    <row r="205" spans="1:7" s="5" customFormat="1" ht="12.75">
      <c r="A205" s="29">
        <f t="shared" si="6"/>
        <v>8.329999999999997</v>
      </c>
      <c r="B205" s="18" t="s">
        <v>228</v>
      </c>
      <c r="C205" s="19" t="s">
        <v>0</v>
      </c>
      <c r="D205" s="20">
        <v>8.559</v>
      </c>
      <c r="E205" s="13"/>
      <c r="F205" s="13"/>
      <c r="G205" s="14"/>
    </row>
    <row r="206" spans="1:7" s="5" customFormat="1" ht="12.75">
      <c r="A206" s="29">
        <f t="shared" si="6"/>
        <v>8.339999999999996</v>
      </c>
      <c r="B206" s="18" t="s">
        <v>229</v>
      </c>
      <c r="C206" s="19" t="s">
        <v>0</v>
      </c>
      <c r="D206" s="20">
        <v>4.14945</v>
      </c>
      <c r="E206" s="13"/>
      <c r="F206" s="13"/>
      <c r="G206" s="14"/>
    </row>
    <row r="207" spans="1:7" s="5" customFormat="1" ht="12.75">
      <c r="A207" s="29">
        <f t="shared" si="6"/>
        <v>8.349999999999996</v>
      </c>
      <c r="B207" s="18" t="s">
        <v>230</v>
      </c>
      <c r="C207" s="19" t="s">
        <v>0</v>
      </c>
      <c r="D207" s="20">
        <v>0.21</v>
      </c>
      <c r="E207" s="13"/>
      <c r="F207" s="13"/>
      <c r="G207" s="14"/>
    </row>
    <row r="208" spans="1:7" s="5" customFormat="1" ht="12.75">
      <c r="A208" s="29">
        <f t="shared" si="6"/>
        <v>8.359999999999996</v>
      </c>
      <c r="B208" s="18" t="s">
        <v>231</v>
      </c>
      <c r="C208" s="19" t="s">
        <v>0</v>
      </c>
      <c r="D208" s="20">
        <v>2.3841</v>
      </c>
      <c r="E208" s="13"/>
      <c r="F208" s="13"/>
      <c r="G208" s="14"/>
    </row>
    <row r="209" spans="1:7" s="5" customFormat="1" ht="12.75">
      <c r="A209" s="29">
        <f t="shared" si="6"/>
        <v>8.369999999999996</v>
      </c>
      <c r="B209" s="18" t="s">
        <v>232</v>
      </c>
      <c r="C209" s="19" t="s">
        <v>0</v>
      </c>
      <c r="D209" s="20">
        <v>5.22</v>
      </c>
      <c r="E209" s="13"/>
      <c r="F209" s="13"/>
      <c r="G209" s="14"/>
    </row>
    <row r="210" spans="1:7" s="5" customFormat="1" ht="12.75">
      <c r="A210" s="29">
        <f t="shared" si="6"/>
        <v>8.379999999999995</v>
      </c>
      <c r="B210" s="18" t="s">
        <v>233</v>
      </c>
      <c r="C210" s="19" t="s">
        <v>0</v>
      </c>
      <c r="D210" s="20">
        <v>2.808</v>
      </c>
      <c r="E210" s="13"/>
      <c r="F210" s="13"/>
      <c r="G210" s="14"/>
    </row>
    <row r="211" spans="1:7" s="5" customFormat="1" ht="12.75">
      <c r="A211" s="29">
        <f t="shared" si="6"/>
        <v>8.389999999999995</v>
      </c>
      <c r="B211" s="18" t="s">
        <v>234</v>
      </c>
      <c r="C211" s="19" t="s">
        <v>0</v>
      </c>
      <c r="D211" s="20">
        <v>3</v>
      </c>
      <c r="E211" s="13"/>
      <c r="F211" s="13"/>
      <c r="G211" s="14"/>
    </row>
    <row r="212" spans="1:7" s="5" customFormat="1" ht="12.75">
      <c r="A212" s="29">
        <f t="shared" si="6"/>
        <v>8.399999999999995</v>
      </c>
      <c r="B212" s="18" t="s">
        <v>235</v>
      </c>
      <c r="C212" s="19" t="s">
        <v>0</v>
      </c>
      <c r="D212" s="20">
        <v>8.8956</v>
      </c>
      <c r="E212" s="13"/>
      <c r="F212" s="13"/>
      <c r="G212" s="14"/>
    </row>
    <row r="213" spans="1:7" s="5" customFormat="1" ht="12.75">
      <c r="A213" s="29">
        <f t="shared" si="6"/>
        <v>8.409999999999995</v>
      </c>
      <c r="B213" s="18" t="s">
        <v>236</v>
      </c>
      <c r="C213" s="19" t="s">
        <v>0</v>
      </c>
      <c r="D213" s="20">
        <v>8.073</v>
      </c>
      <c r="E213" s="13"/>
      <c r="F213" s="13"/>
      <c r="G213" s="14"/>
    </row>
    <row r="214" spans="1:7" s="5" customFormat="1" ht="12.75">
      <c r="A214" s="29">
        <f t="shared" si="6"/>
        <v>8.419999999999995</v>
      </c>
      <c r="B214" s="18" t="s">
        <v>237</v>
      </c>
      <c r="C214" s="19" t="s">
        <v>0</v>
      </c>
      <c r="D214" s="20">
        <v>0.24</v>
      </c>
      <c r="E214" s="13"/>
      <c r="F214" s="13"/>
      <c r="G214" s="14"/>
    </row>
    <row r="215" spans="1:7" s="5" customFormat="1" ht="15">
      <c r="A215" s="29"/>
      <c r="B215" s="21" t="s">
        <v>238</v>
      </c>
      <c r="C215" s="19"/>
      <c r="D215" s="20"/>
      <c r="E215" s="13"/>
      <c r="F215" s="13"/>
      <c r="G215" s="14"/>
    </row>
    <row r="216" spans="1:7" s="5" customFormat="1" ht="12.75">
      <c r="A216" s="29">
        <v>8.43</v>
      </c>
      <c r="B216" s="18" t="s">
        <v>43</v>
      </c>
      <c r="C216" s="19" t="s">
        <v>10</v>
      </c>
      <c r="D216" s="20">
        <v>86.78</v>
      </c>
      <c r="E216" s="13"/>
      <c r="F216" s="13"/>
      <c r="G216" s="14"/>
    </row>
    <row r="217" spans="1:7" s="5" customFormat="1" ht="12.75">
      <c r="A217" s="29">
        <f t="shared" si="6"/>
        <v>8.44</v>
      </c>
      <c r="B217" s="18" t="s">
        <v>105</v>
      </c>
      <c r="C217" s="19" t="s">
        <v>10</v>
      </c>
      <c r="D217" s="20">
        <v>317.286</v>
      </c>
      <c r="E217" s="13"/>
      <c r="F217" s="13"/>
      <c r="G217" s="14"/>
    </row>
    <row r="218" spans="1:7" s="5" customFormat="1" ht="12.75">
      <c r="A218" s="29">
        <f t="shared" si="6"/>
        <v>8.45</v>
      </c>
      <c r="B218" s="18" t="s">
        <v>132</v>
      </c>
      <c r="C218" s="19" t="s">
        <v>10</v>
      </c>
      <c r="D218" s="20">
        <f>40*1.2*2</f>
        <v>96</v>
      </c>
      <c r="E218" s="13"/>
      <c r="F218" s="13"/>
      <c r="G218" s="14"/>
    </row>
    <row r="219" spans="1:7" s="5" customFormat="1" ht="15">
      <c r="A219" s="29"/>
      <c r="B219" s="21" t="s">
        <v>240</v>
      </c>
      <c r="C219" s="19"/>
      <c r="D219" s="20"/>
      <c r="E219" s="13"/>
      <c r="F219" s="13"/>
      <c r="G219" s="14"/>
    </row>
    <row r="220" spans="1:7" s="5" customFormat="1" ht="12.75">
      <c r="A220" s="29">
        <v>8.46</v>
      </c>
      <c r="B220" s="6" t="s">
        <v>289</v>
      </c>
      <c r="C220" s="19" t="s">
        <v>10</v>
      </c>
      <c r="D220" s="20">
        <v>129.8304</v>
      </c>
      <c r="E220" s="13"/>
      <c r="F220" s="13"/>
      <c r="G220" s="14"/>
    </row>
    <row r="221" spans="1:7" s="5" customFormat="1" ht="12.75">
      <c r="A221" s="29">
        <f t="shared" si="6"/>
        <v>8.47</v>
      </c>
      <c r="B221" s="18" t="s">
        <v>133</v>
      </c>
      <c r="C221" s="19" t="s">
        <v>11</v>
      </c>
      <c r="D221" s="20">
        <v>59.83</v>
      </c>
      <c r="E221" s="13"/>
      <c r="F221" s="13"/>
      <c r="G221" s="14"/>
    </row>
    <row r="222" spans="1:7" s="5" customFormat="1" ht="12.75">
      <c r="A222" s="29">
        <f t="shared" si="6"/>
        <v>8.48</v>
      </c>
      <c r="B222" s="18" t="s">
        <v>239</v>
      </c>
      <c r="C222" s="19" t="s">
        <v>10</v>
      </c>
      <c r="D222" s="20">
        <v>129.8304</v>
      </c>
      <c r="E222" s="13"/>
      <c r="F222" s="13"/>
      <c r="G222" s="14"/>
    </row>
    <row r="223" spans="1:7" s="5" customFormat="1" ht="12.75">
      <c r="A223" s="29">
        <f t="shared" si="6"/>
        <v>8.49</v>
      </c>
      <c r="B223" s="18" t="s">
        <v>134</v>
      </c>
      <c r="C223" s="19" t="s">
        <v>11</v>
      </c>
      <c r="D223" s="20">
        <v>13.6</v>
      </c>
      <c r="E223" s="13"/>
      <c r="F223" s="13"/>
      <c r="G223" s="14"/>
    </row>
    <row r="224" spans="1:7" s="5" customFormat="1" ht="12.75">
      <c r="A224" s="29">
        <f t="shared" si="6"/>
        <v>8.5</v>
      </c>
      <c r="B224" s="18" t="s">
        <v>135</v>
      </c>
      <c r="C224" s="19" t="s">
        <v>118</v>
      </c>
      <c r="D224" s="20">
        <v>2</v>
      </c>
      <c r="E224" s="13"/>
      <c r="F224" s="13"/>
      <c r="G224" s="14"/>
    </row>
    <row r="225" spans="1:7" s="5" customFormat="1" ht="12.75">
      <c r="A225" s="29">
        <f t="shared" si="6"/>
        <v>8.51</v>
      </c>
      <c r="B225" s="18" t="s">
        <v>136</v>
      </c>
      <c r="C225" s="19" t="s">
        <v>118</v>
      </c>
      <c r="D225" s="20">
        <v>2</v>
      </c>
      <c r="E225" s="13"/>
      <c r="F225" s="13"/>
      <c r="G225" s="14"/>
    </row>
    <row r="226" spans="1:7" s="5" customFormat="1" ht="12.75">
      <c r="A226" s="29">
        <f t="shared" si="6"/>
        <v>8.52</v>
      </c>
      <c r="B226" s="26" t="s">
        <v>156</v>
      </c>
      <c r="C226" s="19"/>
      <c r="D226" s="20"/>
      <c r="E226" s="13"/>
      <c r="F226" s="13"/>
      <c r="G226" s="14"/>
    </row>
    <row r="227" spans="1:7" s="5" customFormat="1" ht="12.75">
      <c r="A227" s="29">
        <f t="shared" si="6"/>
        <v>8.53</v>
      </c>
      <c r="B227" s="18" t="s">
        <v>308</v>
      </c>
      <c r="C227" s="19" t="s">
        <v>157</v>
      </c>
      <c r="D227" s="20">
        <v>30560.32</v>
      </c>
      <c r="E227" s="13"/>
      <c r="F227" s="13"/>
      <c r="G227" s="14"/>
    </row>
    <row r="228" spans="1:7" s="5" customFormat="1" ht="12.75">
      <c r="A228" s="29">
        <f t="shared" si="6"/>
        <v>8.54</v>
      </c>
      <c r="B228" s="18" t="s">
        <v>321</v>
      </c>
      <c r="C228" s="19" t="s">
        <v>10</v>
      </c>
      <c r="D228" s="20">
        <v>595</v>
      </c>
      <c r="E228" s="13"/>
      <c r="F228" s="13"/>
      <c r="G228" s="14"/>
    </row>
    <row r="229" spans="1:7" s="5" customFormat="1" ht="12.75">
      <c r="A229" s="29">
        <f t="shared" si="6"/>
        <v>8.549999999999999</v>
      </c>
      <c r="B229" s="18" t="s">
        <v>158</v>
      </c>
      <c r="C229" s="19" t="s">
        <v>10</v>
      </c>
      <c r="D229" s="20">
        <v>54</v>
      </c>
      <c r="E229" s="13"/>
      <c r="F229" s="13"/>
      <c r="G229" s="14"/>
    </row>
    <row r="230" spans="1:7" s="5" customFormat="1" ht="15">
      <c r="A230" s="29"/>
      <c r="B230" s="21" t="s">
        <v>241</v>
      </c>
      <c r="C230" s="19"/>
      <c r="D230" s="20"/>
      <c r="E230" s="13"/>
      <c r="F230" s="13"/>
      <c r="G230" s="14"/>
    </row>
    <row r="231" spans="1:7" s="5" customFormat="1" ht="12.75">
      <c r="A231" s="29">
        <v>8.56</v>
      </c>
      <c r="B231" s="18" t="s">
        <v>137</v>
      </c>
      <c r="C231" s="19" t="s">
        <v>10</v>
      </c>
      <c r="D231" s="20">
        <v>132.1</v>
      </c>
      <c r="E231" s="13"/>
      <c r="F231" s="13"/>
      <c r="G231" s="14"/>
    </row>
    <row r="232" spans="1:7" s="5" customFormat="1" ht="12.75">
      <c r="A232" s="29">
        <f t="shared" si="6"/>
        <v>8.57</v>
      </c>
      <c r="B232" s="18" t="s">
        <v>138</v>
      </c>
      <c r="C232" s="19" t="s">
        <v>10</v>
      </c>
      <c r="D232" s="20">
        <v>132.1</v>
      </c>
      <c r="E232" s="13"/>
      <c r="F232" s="13"/>
      <c r="G232" s="14"/>
    </row>
    <row r="233" spans="1:7" s="5" customFormat="1" ht="12.75">
      <c r="A233" s="29">
        <f t="shared" si="6"/>
        <v>8.58</v>
      </c>
      <c r="B233" s="18" t="s">
        <v>139</v>
      </c>
      <c r="C233" s="19" t="s">
        <v>10</v>
      </c>
      <c r="D233" s="20">
        <v>60.928</v>
      </c>
      <c r="E233" s="13"/>
      <c r="F233" s="13"/>
      <c r="G233" s="14"/>
    </row>
    <row r="234" spans="1:7" s="5" customFormat="1" ht="12.75">
      <c r="A234" s="29">
        <f t="shared" si="6"/>
        <v>8.59</v>
      </c>
      <c r="B234" s="18" t="s">
        <v>140</v>
      </c>
      <c r="C234" s="19" t="s">
        <v>11</v>
      </c>
      <c r="D234" s="20">
        <v>413</v>
      </c>
      <c r="E234" s="13"/>
      <c r="F234" s="13"/>
      <c r="G234" s="14"/>
    </row>
    <row r="235" spans="1:7" s="5" customFormat="1" ht="12.75">
      <c r="A235" s="29">
        <f t="shared" si="6"/>
        <v>8.6</v>
      </c>
      <c r="B235" s="18" t="s">
        <v>141</v>
      </c>
      <c r="C235" s="19" t="s">
        <v>10</v>
      </c>
      <c r="D235" s="20">
        <v>44.0946</v>
      </c>
      <c r="E235" s="13"/>
      <c r="F235" s="13"/>
      <c r="G235" s="14"/>
    </row>
    <row r="236" spans="1:7" s="5" customFormat="1" ht="12.75">
      <c r="A236" s="29">
        <f t="shared" si="6"/>
        <v>8.61</v>
      </c>
      <c r="B236" s="18" t="s">
        <v>142</v>
      </c>
      <c r="C236" s="19" t="s">
        <v>10</v>
      </c>
      <c r="D236" s="20">
        <v>397.52788</v>
      </c>
      <c r="E236" s="13"/>
      <c r="F236" s="13"/>
      <c r="G236" s="14"/>
    </row>
    <row r="237" spans="1:7" s="5" customFormat="1" ht="12.75">
      <c r="A237" s="29">
        <f aca="true" t="shared" si="7" ref="A237:A280">+A236+0.01</f>
        <v>8.62</v>
      </c>
      <c r="B237" s="18" t="s">
        <v>309</v>
      </c>
      <c r="C237" s="19" t="s">
        <v>11</v>
      </c>
      <c r="D237" s="20">
        <v>116</v>
      </c>
      <c r="E237" s="13"/>
      <c r="F237" s="13"/>
      <c r="G237" s="14"/>
    </row>
    <row r="238" spans="1:7" s="5" customFormat="1" ht="15">
      <c r="A238" s="29"/>
      <c r="B238" s="21" t="s">
        <v>242</v>
      </c>
      <c r="C238" s="19"/>
      <c r="D238" s="20"/>
      <c r="E238" s="13"/>
      <c r="F238" s="13"/>
      <c r="G238" s="14"/>
    </row>
    <row r="239" spans="1:7" s="5" customFormat="1" ht="12.75">
      <c r="A239" s="29">
        <v>8.63</v>
      </c>
      <c r="B239" s="18" t="s">
        <v>143</v>
      </c>
      <c r="C239" s="19" t="s">
        <v>10</v>
      </c>
      <c r="D239" s="20">
        <v>194.852</v>
      </c>
      <c r="E239" s="13"/>
      <c r="F239" s="13"/>
      <c r="G239" s="14"/>
    </row>
    <row r="240" spans="1:7" s="5" customFormat="1" ht="15">
      <c r="A240" s="29"/>
      <c r="B240" s="21" t="s">
        <v>243</v>
      </c>
      <c r="C240" s="19"/>
      <c r="D240" s="20"/>
      <c r="E240" s="13"/>
      <c r="F240" s="13"/>
      <c r="G240" s="14"/>
    </row>
    <row r="241" spans="1:7" s="5" customFormat="1" ht="12.75">
      <c r="A241" s="29">
        <v>8.64</v>
      </c>
      <c r="B241" s="18" t="s">
        <v>244</v>
      </c>
      <c r="C241" s="19" t="s">
        <v>11</v>
      </c>
      <c r="D241" s="20">
        <v>5.85</v>
      </c>
      <c r="E241" s="13"/>
      <c r="F241" s="13"/>
      <c r="G241" s="14"/>
    </row>
    <row r="242" spans="1:7" s="5" customFormat="1" ht="12.75">
      <c r="A242" s="29">
        <f t="shared" si="7"/>
        <v>8.65</v>
      </c>
      <c r="B242" s="18" t="s">
        <v>144</v>
      </c>
      <c r="C242" s="19" t="s">
        <v>11</v>
      </c>
      <c r="D242" s="20">
        <v>7.2</v>
      </c>
      <c r="E242" s="13"/>
      <c r="F242" s="13"/>
      <c r="G242" s="14"/>
    </row>
    <row r="243" spans="1:7" s="5" customFormat="1" ht="25.5">
      <c r="A243" s="29">
        <f t="shared" si="7"/>
        <v>8.66</v>
      </c>
      <c r="B243" s="18" t="s">
        <v>145</v>
      </c>
      <c r="C243" s="19" t="s">
        <v>118</v>
      </c>
      <c r="D243" s="20">
        <v>4</v>
      </c>
      <c r="E243" s="13"/>
      <c r="F243" s="13"/>
      <c r="G243" s="14"/>
    </row>
    <row r="244" spans="1:7" s="5" customFormat="1" ht="25.5">
      <c r="A244" s="29">
        <f t="shared" si="7"/>
        <v>8.67</v>
      </c>
      <c r="B244" s="18" t="s">
        <v>146</v>
      </c>
      <c r="C244" s="19" t="s">
        <v>10</v>
      </c>
      <c r="D244" s="20">
        <v>32</v>
      </c>
      <c r="E244" s="13"/>
      <c r="F244" s="13"/>
      <c r="G244" s="14"/>
    </row>
    <row r="245" spans="1:7" s="5" customFormat="1" ht="12.75">
      <c r="A245" s="29">
        <f t="shared" si="7"/>
        <v>8.68</v>
      </c>
      <c r="B245" s="18" t="s">
        <v>147</v>
      </c>
      <c r="C245" s="19" t="s">
        <v>148</v>
      </c>
      <c r="D245" s="20">
        <v>1</v>
      </c>
      <c r="E245" s="13"/>
      <c r="F245" s="13"/>
      <c r="G245" s="14"/>
    </row>
    <row r="246" spans="1:7" s="5" customFormat="1" ht="15">
      <c r="A246" s="29"/>
      <c r="B246" s="21" t="s">
        <v>245</v>
      </c>
      <c r="C246" s="19"/>
      <c r="D246" s="20"/>
      <c r="E246" s="13"/>
      <c r="F246" s="13"/>
      <c r="G246" s="14"/>
    </row>
    <row r="247" spans="1:7" s="5" customFormat="1" ht="12.75">
      <c r="A247" s="29">
        <v>8.69</v>
      </c>
      <c r="B247" s="18" t="s">
        <v>246</v>
      </c>
      <c r="C247" s="19" t="s">
        <v>10</v>
      </c>
      <c r="D247" s="20">
        <v>682.085</v>
      </c>
      <c r="E247" s="13"/>
      <c r="F247" s="13"/>
      <c r="G247" s="14"/>
    </row>
    <row r="248" spans="1:7" s="5" customFormat="1" ht="12.75">
      <c r="A248" s="29">
        <f t="shared" si="7"/>
        <v>8.7</v>
      </c>
      <c r="B248" s="18" t="s">
        <v>247</v>
      </c>
      <c r="C248" s="19" t="s">
        <v>10</v>
      </c>
      <c r="D248" s="20">
        <v>639.505</v>
      </c>
      <c r="E248" s="13"/>
      <c r="F248" s="13"/>
      <c r="G248" s="14"/>
    </row>
    <row r="249" spans="1:7" s="5" customFormat="1" ht="12.75">
      <c r="A249" s="29">
        <f t="shared" si="7"/>
        <v>8.709999999999999</v>
      </c>
      <c r="B249" s="18" t="s">
        <v>248</v>
      </c>
      <c r="C249" s="19" t="s">
        <v>10</v>
      </c>
      <c r="D249" s="20">
        <v>42.58</v>
      </c>
      <c r="E249" s="13"/>
      <c r="F249" s="13"/>
      <c r="G249" s="14"/>
    </row>
    <row r="250" spans="1:7" s="5" customFormat="1" ht="12.75">
      <c r="A250" s="29">
        <f t="shared" si="7"/>
        <v>8.719999999999999</v>
      </c>
      <c r="B250" s="18" t="s">
        <v>249</v>
      </c>
      <c r="C250" s="19" t="s">
        <v>11</v>
      </c>
      <c r="D250" s="20">
        <v>14.4</v>
      </c>
      <c r="E250" s="13"/>
      <c r="F250" s="13"/>
      <c r="G250" s="14"/>
    </row>
    <row r="251" spans="1:7" s="5" customFormat="1" ht="12.75">
      <c r="A251" s="29">
        <f t="shared" si="7"/>
        <v>8.729999999999999</v>
      </c>
      <c r="B251" s="18" t="s">
        <v>250</v>
      </c>
      <c r="C251" s="19" t="s">
        <v>11</v>
      </c>
      <c r="D251" s="20">
        <v>135.8055</v>
      </c>
      <c r="E251" s="13"/>
      <c r="F251" s="13"/>
      <c r="G251" s="14"/>
    </row>
    <row r="252" spans="1:7" s="5" customFormat="1" ht="15">
      <c r="A252" s="29"/>
      <c r="B252" s="21" t="s">
        <v>472</v>
      </c>
      <c r="C252" s="19"/>
      <c r="D252" s="20"/>
      <c r="E252" s="13"/>
      <c r="F252" s="13"/>
      <c r="G252" s="14"/>
    </row>
    <row r="253" spans="1:7" s="5" customFormat="1" ht="12.75">
      <c r="A253" s="29">
        <v>8.74</v>
      </c>
      <c r="B253" s="18" t="s">
        <v>149</v>
      </c>
      <c r="C253" s="19" t="s">
        <v>148</v>
      </c>
      <c r="D253" s="20">
        <v>1</v>
      </c>
      <c r="E253" s="13"/>
      <c r="F253" s="13"/>
      <c r="G253" s="14"/>
    </row>
    <row r="254" spans="1:7" s="5" customFormat="1" ht="12.75">
      <c r="A254" s="29">
        <f t="shared" si="7"/>
        <v>8.75</v>
      </c>
      <c r="B254" s="18" t="s">
        <v>150</v>
      </c>
      <c r="C254" s="19" t="s">
        <v>118</v>
      </c>
      <c r="D254" s="20">
        <v>3</v>
      </c>
      <c r="E254" s="13"/>
      <c r="F254" s="13"/>
      <c r="G254" s="14"/>
    </row>
    <row r="255" spans="1:7" s="5" customFormat="1" ht="25.5">
      <c r="A255" s="29">
        <f t="shared" si="7"/>
        <v>8.76</v>
      </c>
      <c r="B255" s="18" t="s">
        <v>257</v>
      </c>
      <c r="C255" s="19" t="s">
        <v>0</v>
      </c>
      <c r="D255" s="20">
        <v>24.48</v>
      </c>
      <c r="E255" s="13"/>
      <c r="F255" s="13"/>
      <c r="G255" s="14"/>
    </row>
    <row r="256" spans="1:7" s="5" customFormat="1" ht="12.75">
      <c r="A256" s="29">
        <f t="shared" si="7"/>
        <v>8.77</v>
      </c>
      <c r="B256" s="18" t="s">
        <v>473</v>
      </c>
      <c r="C256" s="19" t="s">
        <v>11</v>
      </c>
      <c r="D256" s="20">
        <v>22</v>
      </c>
      <c r="E256" s="13"/>
      <c r="F256" s="13"/>
      <c r="G256" s="14"/>
    </row>
    <row r="257" spans="1:7" s="5" customFormat="1" ht="12.75">
      <c r="A257" s="29">
        <f t="shared" si="7"/>
        <v>8.78</v>
      </c>
      <c r="B257" s="18" t="s">
        <v>474</v>
      </c>
      <c r="C257" s="19" t="s">
        <v>11</v>
      </c>
      <c r="D257" s="20">
        <v>28</v>
      </c>
      <c r="E257" s="13"/>
      <c r="F257" s="13"/>
      <c r="G257" s="14"/>
    </row>
    <row r="258" spans="1:7" s="5" customFormat="1" ht="12.75">
      <c r="A258" s="29">
        <f t="shared" si="7"/>
        <v>8.79</v>
      </c>
      <c r="B258" s="18" t="s">
        <v>251</v>
      </c>
      <c r="C258" s="19" t="s">
        <v>11</v>
      </c>
      <c r="D258" s="20">
        <v>16.4</v>
      </c>
      <c r="E258" s="13"/>
      <c r="F258" s="13"/>
      <c r="G258" s="14"/>
    </row>
    <row r="259" spans="1:7" s="5" customFormat="1" ht="12.75">
      <c r="A259" s="29">
        <f t="shared" si="7"/>
        <v>8.799999999999999</v>
      </c>
      <c r="B259" s="18" t="s">
        <v>252</v>
      </c>
      <c r="C259" s="19" t="s">
        <v>11</v>
      </c>
      <c r="D259" s="20">
        <v>86.6</v>
      </c>
      <c r="E259" s="13"/>
      <c r="F259" s="13"/>
      <c r="G259" s="14"/>
    </row>
    <row r="260" spans="1:7" s="5" customFormat="1" ht="12.75">
      <c r="A260" s="29">
        <f t="shared" si="7"/>
        <v>8.809999999999999</v>
      </c>
      <c r="B260" s="18" t="s">
        <v>253</v>
      </c>
      <c r="C260" s="19" t="s">
        <v>148</v>
      </c>
      <c r="D260" s="20">
        <v>2</v>
      </c>
      <c r="E260" s="13"/>
      <c r="F260" s="13"/>
      <c r="G260" s="14"/>
    </row>
    <row r="261" spans="1:7" s="5" customFormat="1" ht="12.75">
      <c r="A261" s="29">
        <f t="shared" si="7"/>
        <v>8.819999999999999</v>
      </c>
      <c r="B261" s="18" t="s">
        <v>153</v>
      </c>
      <c r="C261" s="19" t="s">
        <v>118</v>
      </c>
      <c r="D261" s="20">
        <v>6</v>
      </c>
      <c r="E261" s="13"/>
      <c r="F261" s="13"/>
      <c r="G261" s="14"/>
    </row>
    <row r="262" spans="1:7" s="5" customFormat="1" ht="12.75">
      <c r="A262" s="29">
        <f t="shared" si="7"/>
        <v>8.829999999999998</v>
      </c>
      <c r="B262" s="18" t="s">
        <v>154</v>
      </c>
      <c r="C262" s="19" t="s">
        <v>118</v>
      </c>
      <c r="D262" s="20">
        <v>6</v>
      </c>
      <c r="E262" s="13"/>
      <c r="F262" s="13"/>
      <c r="G262" s="14"/>
    </row>
    <row r="263" spans="1:7" s="5" customFormat="1" ht="12.75">
      <c r="A263" s="29">
        <f t="shared" si="7"/>
        <v>8.839999999999998</v>
      </c>
      <c r="B263" s="18" t="s">
        <v>155</v>
      </c>
      <c r="C263" s="19" t="s">
        <v>148</v>
      </c>
      <c r="D263" s="20">
        <v>1</v>
      </c>
      <c r="E263" s="13"/>
      <c r="F263" s="13"/>
      <c r="G263" s="14"/>
    </row>
    <row r="264" spans="1:7" s="5" customFormat="1" ht="25.5">
      <c r="A264" s="29">
        <f t="shared" si="7"/>
        <v>8.849999999999998</v>
      </c>
      <c r="B264" s="18" t="s">
        <v>254</v>
      </c>
      <c r="C264" s="19" t="s">
        <v>148</v>
      </c>
      <c r="D264" s="20">
        <v>1</v>
      </c>
      <c r="E264" s="13"/>
      <c r="F264" s="13"/>
      <c r="G264" s="14"/>
    </row>
    <row r="265" spans="1:7" s="5" customFormat="1" ht="12.75">
      <c r="A265" s="29">
        <f t="shared" si="7"/>
        <v>8.859999999999998</v>
      </c>
      <c r="B265" s="18" t="s">
        <v>310</v>
      </c>
      <c r="C265" s="19" t="s">
        <v>11</v>
      </c>
      <c r="D265" s="20">
        <v>18</v>
      </c>
      <c r="E265" s="13"/>
      <c r="F265" s="13"/>
      <c r="G265" s="14"/>
    </row>
    <row r="266" spans="1:7" s="5" customFormat="1" ht="15">
      <c r="A266" s="29"/>
      <c r="B266" s="21" t="s">
        <v>256</v>
      </c>
      <c r="C266" s="23"/>
      <c r="D266" s="10"/>
      <c r="E266" s="13"/>
      <c r="F266" s="13"/>
      <c r="G266" s="14"/>
    </row>
    <row r="267" spans="1:7" s="5" customFormat="1" ht="25.5">
      <c r="A267" s="29">
        <v>8.87</v>
      </c>
      <c r="B267" s="18" t="s">
        <v>201</v>
      </c>
      <c r="C267" s="19" t="s">
        <v>159</v>
      </c>
      <c r="D267" s="20">
        <v>666.962904</v>
      </c>
      <c r="E267" s="13"/>
      <c r="F267" s="13"/>
      <c r="G267" s="14"/>
    </row>
    <row r="268" spans="1:7" s="5" customFormat="1" ht="12.75">
      <c r="A268" s="29">
        <f t="shared" si="7"/>
        <v>8.879999999999999</v>
      </c>
      <c r="B268" s="18" t="s">
        <v>311</v>
      </c>
      <c r="C268" s="19" t="s">
        <v>13</v>
      </c>
      <c r="D268" s="20">
        <v>6</v>
      </c>
      <c r="E268" s="13"/>
      <c r="F268" s="13"/>
      <c r="G268" s="14"/>
    </row>
    <row r="269" spans="1:7" s="5" customFormat="1" ht="12.75">
      <c r="A269" s="29">
        <f t="shared" si="7"/>
        <v>8.889999999999999</v>
      </c>
      <c r="B269" s="18" t="s">
        <v>312</v>
      </c>
      <c r="C269" s="19" t="s">
        <v>13</v>
      </c>
      <c r="D269" s="20">
        <v>2</v>
      </c>
      <c r="E269" s="13"/>
      <c r="F269" s="13"/>
      <c r="G269" s="14"/>
    </row>
    <row r="270" spans="1:7" s="5" customFormat="1" ht="12.75">
      <c r="A270" s="29">
        <f t="shared" si="7"/>
        <v>8.899999999999999</v>
      </c>
      <c r="B270" s="18" t="s">
        <v>160</v>
      </c>
      <c r="C270" s="19" t="s">
        <v>13</v>
      </c>
      <c r="D270" s="20">
        <v>3</v>
      </c>
      <c r="E270" s="13"/>
      <c r="F270" s="13"/>
      <c r="G270" s="14"/>
    </row>
    <row r="271" spans="1:7" s="5" customFormat="1" ht="12.75">
      <c r="A271" s="29">
        <f t="shared" si="7"/>
        <v>8.909999999999998</v>
      </c>
      <c r="B271" s="18" t="s">
        <v>161</v>
      </c>
      <c r="C271" s="19" t="s">
        <v>13</v>
      </c>
      <c r="D271" s="20">
        <v>1</v>
      </c>
      <c r="E271" s="13"/>
      <c r="F271" s="13"/>
      <c r="G271" s="14"/>
    </row>
    <row r="272" spans="1:7" s="5" customFormat="1" ht="12.75">
      <c r="A272" s="29">
        <f t="shared" si="7"/>
        <v>8.919999999999998</v>
      </c>
      <c r="B272" s="18" t="s">
        <v>313</v>
      </c>
      <c r="C272" s="19" t="s">
        <v>148</v>
      </c>
      <c r="D272" s="20">
        <v>1</v>
      </c>
      <c r="E272" s="13"/>
      <c r="F272" s="13"/>
      <c r="G272" s="14"/>
    </row>
    <row r="273" spans="1:7" s="5" customFormat="1" ht="12.75">
      <c r="A273" s="29">
        <f t="shared" si="7"/>
        <v>8.929999999999998</v>
      </c>
      <c r="B273" s="18" t="s">
        <v>314</v>
      </c>
      <c r="C273" s="19" t="s">
        <v>13</v>
      </c>
      <c r="D273" s="20">
        <v>1</v>
      </c>
      <c r="E273" s="13"/>
      <c r="F273" s="13"/>
      <c r="G273" s="14"/>
    </row>
    <row r="274" spans="1:7" s="5" customFormat="1" ht="12.75">
      <c r="A274" s="29">
        <f t="shared" si="7"/>
        <v>8.939999999999998</v>
      </c>
      <c r="B274" s="18" t="s">
        <v>315</v>
      </c>
      <c r="C274" s="19" t="s">
        <v>13</v>
      </c>
      <c r="D274" s="20">
        <v>1</v>
      </c>
      <c r="E274" s="13"/>
      <c r="F274" s="13"/>
      <c r="G274" s="14"/>
    </row>
    <row r="275" spans="1:7" s="5" customFormat="1" ht="12.75">
      <c r="A275" s="29">
        <f t="shared" si="7"/>
        <v>8.949999999999998</v>
      </c>
      <c r="B275" s="18" t="s">
        <v>162</v>
      </c>
      <c r="C275" s="19" t="s">
        <v>13</v>
      </c>
      <c r="D275" s="20">
        <v>17</v>
      </c>
      <c r="E275" s="13"/>
      <c r="F275" s="13"/>
      <c r="G275" s="14"/>
    </row>
    <row r="276" spans="1:7" s="5" customFormat="1" ht="25.5">
      <c r="A276" s="29">
        <f t="shared" si="7"/>
        <v>8.959999999999997</v>
      </c>
      <c r="B276" s="18" t="s">
        <v>163</v>
      </c>
      <c r="C276" s="19" t="s">
        <v>164</v>
      </c>
      <c r="D276" s="20">
        <v>653.89</v>
      </c>
      <c r="E276" s="13"/>
      <c r="F276" s="13"/>
      <c r="G276" s="14"/>
    </row>
    <row r="277" spans="1:7" s="5" customFormat="1" ht="12.75">
      <c r="A277" s="29">
        <f t="shared" si="7"/>
        <v>8.969999999999997</v>
      </c>
      <c r="B277" s="18" t="s">
        <v>202</v>
      </c>
      <c r="C277" s="19" t="s">
        <v>13</v>
      </c>
      <c r="D277" s="20">
        <v>14</v>
      </c>
      <c r="E277" s="13"/>
      <c r="F277" s="13"/>
      <c r="G277" s="14"/>
    </row>
    <row r="278" spans="1:7" s="5" customFormat="1" ht="15">
      <c r="A278" s="29"/>
      <c r="B278" s="21" t="s">
        <v>203</v>
      </c>
      <c r="C278" s="19"/>
      <c r="D278" s="20"/>
      <c r="E278" s="13"/>
      <c r="F278" s="13"/>
      <c r="G278" s="14"/>
    </row>
    <row r="279" spans="1:7" s="5" customFormat="1" ht="12.75">
      <c r="A279" s="29">
        <v>8.98</v>
      </c>
      <c r="B279" s="18" t="s">
        <v>258</v>
      </c>
      <c r="C279" s="19" t="s">
        <v>0</v>
      </c>
      <c r="D279" s="20">
        <v>32.41</v>
      </c>
      <c r="E279" s="13"/>
      <c r="F279" s="13"/>
      <c r="G279" s="14"/>
    </row>
    <row r="280" spans="1:7" s="5" customFormat="1" ht="12.75">
      <c r="A280" s="29">
        <f t="shared" si="7"/>
        <v>8.99</v>
      </c>
      <c r="B280" s="18" t="s">
        <v>165</v>
      </c>
      <c r="C280" s="19" t="s">
        <v>0</v>
      </c>
      <c r="D280" s="20">
        <v>10.6</v>
      </c>
      <c r="E280" s="13"/>
      <c r="F280" s="13"/>
      <c r="G280" s="14"/>
    </row>
    <row r="281" spans="1:7" s="5" customFormat="1" ht="12.75">
      <c r="A281" s="29">
        <v>8.1</v>
      </c>
      <c r="B281" s="18" t="s">
        <v>166</v>
      </c>
      <c r="C281" s="19" t="s">
        <v>10</v>
      </c>
      <c r="D281" s="20">
        <v>48.16</v>
      </c>
      <c r="E281" s="13"/>
      <c r="F281" s="13"/>
      <c r="G281" s="14"/>
    </row>
    <row r="282" spans="1:7" s="5" customFormat="1" ht="12.75">
      <c r="A282" s="29">
        <v>8.101</v>
      </c>
      <c r="B282" s="18" t="s">
        <v>167</v>
      </c>
      <c r="C282" s="19" t="s">
        <v>10</v>
      </c>
      <c r="D282" s="20">
        <v>295.2</v>
      </c>
      <c r="E282" s="13"/>
      <c r="F282" s="13"/>
      <c r="G282" s="14"/>
    </row>
    <row r="283" spans="1:7" s="5" customFormat="1" ht="15">
      <c r="A283" s="29"/>
      <c r="B283" s="21" t="s">
        <v>168</v>
      </c>
      <c r="C283" s="19"/>
      <c r="D283" s="20"/>
      <c r="E283" s="13"/>
      <c r="F283" s="13"/>
      <c r="G283" s="14"/>
    </row>
    <row r="284" spans="1:7" s="5" customFormat="1" ht="12.75">
      <c r="A284" s="29">
        <v>8.102</v>
      </c>
      <c r="B284" s="18" t="s">
        <v>258</v>
      </c>
      <c r="C284" s="19" t="s">
        <v>0</v>
      </c>
      <c r="D284" s="20">
        <v>82.4</v>
      </c>
      <c r="E284" s="13"/>
      <c r="F284" s="13"/>
      <c r="G284" s="14"/>
    </row>
    <row r="285" spans="1:7" s="5" customFormat="1" ht="12.75">
      <c r="A285" s="29">
        <v>8.103</v>
      </c>
      <c r="B285" s="18" t="s">
        <v>165</v>
      </c>
      <c r="C285" s="19" t="s">
        <v>0</v>
      </c>
      <c r="D285" s="20">
        <v>14.832</v>
      </c>
      <c r="E285" s="13"/>
      <c r="F285" s="13"/>
      <c r="G285" s="14"/>
    </row>
    <row r="286" spans="1:7" s="5" customFormat="1" ht="12.75">
      <c r="A286" s="29">
        <f>+A285+0.001</f>
        <v>8.104</v>
      </c>
      <c r="B286" s="18" t="s">
        <v>166</v>
      </c>
      <c r="C286" s="19" t="s">
        <v>10</v>
      </c>
      <c r="D286" s="20">
        <v>32.96</v>
      </c>
      <c r="E286" s="13"/>
      <c r="F286" s="13"/>
      <c r="G286" s="14"/>
    </row>
    <row r="287" spans="1:7" s="5" customFormat="1" ht="12.75">
      <c r="A287" s="29">
        <f aca="true" t="shared" si="8" ref="A287:A319">+A286+0.001</f>
        <v>8.104999999999999</v>
      </c>
      <c r="B287" s="18" t="s">
        <v>167</v>
      </c>
      <c r="C287" s="19" t="s">
        <v>10</v>
      </c>
      <c r="D287" s="20">
        <v>486.2</v>
      </c>
      <c r="E287" s="13"/>
      <c r="F287" s="13"/>
      <c r="G287" s="14"/>
    </row>
    <row r="288" spans="1:7" s="5" customFormat="1" ht="15">
      <c r="A288" s="29"/>
      <c r="B288" s="21" t="s">
        <v>204</v>
      </c>
      <c r="C288" s="19"/>
      <c r="D288" s="20"/>
      <c r="E288" s="13"/>
      <c r="F288" s="13"/>
      <c r="G288" s="14"/>
    </row>
    <row r="289" spans="1:7" s="5" customFormat="1" ht="12.75">
      <c r="A289" s="29">
        <v>8.106</v>
      </c>
      <c r="B289" s="18" t="s">
        <v>259</v>
      </c>
      <c r="C289" s="19" t="s">
        <v>13</v>
      </c>
      <c r="D289" s="20">
        <v>3</v>
      </c>
      <c r="E289" s="13"/>
      <c r="F289" s="13"/>
      <c r="G289" s="14"/>
    </row>
    <row r="290" spans="1:7" s="5" customFormat="1" ht="12.75">
      <c r="A290" s="29">
        <v>8.107</v>
      </c>
      <c r="B290" s="18" t="s">
        <v>169</v>
      </c>
      <c r="C290" s="19" t="s">
        <v>148</v>
      </c>
      <c r="D290" s="20">
        <v>8</v>
      </c>
      <c r="E290" s="13"/>
      <c r="F290" s="13"/>
      <c r="G290" s="14"/>
    </row>
    <row r="291" spans="1:7" s="5" customFormat="1" ht="15">
      <c r="A291" s="29"/>
      <c r="B291" s="21" t="s">
        <v>175</v>
      </c>
      <c r="C291" s="19"/>
      <c r="D291" s="20"/>
      <c r="E291" s="13"/>
      <c r="F291" s="13"/>
      <c r="G291" s="14"/>
    </row>
    <row r="292" spans="1:7" s="5" customFormat="1" ht="51">
      <c r="A292" s="29">
        <v>8.108</v>
      </c>
      <c r="B292" s="18" t="s">
        <v>176</v>
      </c>
      <c r="C292" s="19" t="s">
        <v>177</v>
      </c>
      <c r="D292" s="20">
        <v>23</v>
      </c>
      <c r="E292" s="13"/>
      <c r="F292" s="13"/>
      <c r="G292" s="14"/>
    </row>
    <row r="293" spans="1:7" s="5" customFormat="1" ht="51">
      <c r="A293" s="29">
        <f t="shared" si="8"/>
        <v>8.109</v>
      </c>
      <c r="B293" s="18" t="s">
        <v>178</v>
      </c>
      <c r="C293" s="19" t="s">
        <v>177</v>
      </c>
      <c r="D293" s="20">
        <v>4</v>
      </c>
      <c r="E293" s="13"/>
      <c r="F293" s="13"/>
      <c r="G293" s="14"/>
    </row>
    <row r="294" spans="1:7" s="5" customFormat="1" ht="51">
      <c r="A294" s="29">
        <f t="shared" si="8"/>
        <v>8.11</v>
      </c>
      <c r="B294" s="18" t="s">
        <v>179</v>
      </c>
      <c r="C294" s="19" t="s">
        <v>177</v>
      </c>
      <c r="D294" s="20">
        <v>53</v>
      </c>
      <c r="E294" s="13"/>
      <c r="F294" s="13"/>
      <c r="G294" s="14"/>
    </row>
    <row r="295" spans="1:7" s="5" customFormat="1" ht="51">
      <c r="A295" s="29">
        <f t="shared" si="8"/>
        <v>8.110999999999999</v>
      </c>
      <c r="B295" s="18" t="s">
        <v>180</v>
      </c>
      <c r="C295" s="19" t="s">
        <v>177</v>
      </c>
      <c r="D295" s="20">
        <v>53</v>
      </c>
      <c r="E295" s="13"/>
      <c r="F295" s="13"/>
      <c r="G295" s="14"/>
    </row>
    <row r="296" spans="1:7" s="5" customFormat="1" ht="51">
      <c r="A296" s="29">
        <f t="shared" si="8"/>
        <v>8.111999999999998</v>
      </c>
      <c r="B296" s="18" t="s">
        <v>181</v>
      </c>
      <c r="C296" s="19" t="s">
        <v>177</v>
      </c>
      <c r="D296" s="20">
        <v>6</v>
      </c>
      <c r="E296" s="13"/>
      <c r="F296" s="13"/>
      <c r="G296" s="14"/>
    </row>
    <row r="297" spans="1:7" s="5" customFormat="1" ht="51">
      <c r="A297" s="29">
        <f t="shared" si="8"/>
        <v>8.112999999999998</v>
      </c>
      <c r="B297" s="18" t="s">
        <v>182</v>
      </c>
      <c r="C297" s="19" t="s">
        <v>177</v>
      </c>
      <c r="D297" s="20">
        <v>13</v>
      </c>
      <c r="E297" s="13"/>
      <c r="F297" s="13"/>
      <c r="G297" s="14"/>
    </row>
    <row r="298" spans="1:7" s="5" customFormat="1" ht="51">
      <c r="A298" s="29">
        <f t="shared" si="8"/>
        <v>8.113999999999997</v>
      </c>
      <c r="B298" s="18" t="s">
        <v>183</v>
      </c>
      <c r="C298" s="19" t="s">
        <v>177</v>
      </c>
      <c r="D298" s="20">
        <v>1</v>
      </c>
      <c r="E298" s="13"/>
      <c r="F298" s="13"/>
      <c r="G298" s="14"/>
    </row>
    <row r="299" spans="1:7" s="5" customFormat="1" ht="63.75">
      <c r="A299" s="29">
        <f t="shared" si="8"/>
        <v>8.114999999999997</v>
      </c>
      <c r="B299" s="18" t="s">
        <v>184</v>
      </c>
      <c r="C299" s="19" t="s">
        <v>177</v>
      </c>
      <c r="D299" s="20">
        <v>4</v>
      </c>
      <c r="E299" s="13"/>
      <c r="F299" s="13"/>
      <c r="G299" s="14"/>
    </row>
    <row r="300" spans="1:7" s="5" customFormat="1" ht="63.75">
      <c r="A300" s="29">
        <f t="shared" si="8"/>
        <v>8.115999999999996</v>
      </c>
      <c r="B300" s="18" t="s">
        <v>185</v>
      </c>
      <c r="C300" s="19" t="s">
        <v>177</v>
      </c>
      <c r="D300" s="20">
        <v>14</v>
      </c>
      <c r="E300" s="13"/>
      <c r="F300" s="13"/>
      <c r="G300" s="14"/>
    </row>
    <row r="301" spans="1:7" s="5" customFormat="1" ht="25.5">
      <c r="A301" s="29">
        <f t="shared" si="8"/>
        <v>8.116999999999996</v>
      </c>
      <c r="B301" s="18" t="s">
        <v>186</v>
      </c>
      <c r="C301" s="19" t="s">
        <v>177</v>
      </c>
      <c r="D301" s="20">
        <v>14</v>
      </c>
      <c r="E301" s="13"/>
      <c r="F301" s="13"/>
      <c r="G301" s="14"/>
    </row>
    <row r="302" spans="1:7" s="5" customFormat="1" ht="63.75">
      <c r="A302" s="29">
        <f t="shared" si="8"/>
        <v>8.117999999999995</v>
      </c>
      <c r="B302" s="18" t="s">
        <v>187</v>
      </c>
      <c r="C302" s="19" t="s">
        <v>177</v>
      </c>
      <c r="D302" s="20">
        <v>9</v>
      </c>
      <c r="E302" s="13"/>
      <c r="F302" s="13"/>
      <c r="G302" s="14"/>
    </row>
    <row r="303" spans="1:7" s="5" customFormat="1" ht="38.25">
      <c r="A303" s="29">
        <f t="shared" si="8"/>
        <v>8.118999999999994</v>
      </c>
      <c r="B303" s="18" t="s">
        <v>188</v>
      </c>
      <c r="C303" s="19" t="s">
        <v>177</v>
      </c>
      <c r="D303" s="20">
        <v>2</v>
      </c>
      <c r="E303" s="13"/>
      <c r="F303" s="13"/>
      <c r="G303" s="14"/>
    </row>
    <row r="304" spans="1:7" s="5" customFormat="1" ht="38.25">
      <c r="A304" s="29">
        <f t="shared" si="8"/>
        <v>8.119999999999994</v>
      </c>
      <c r="B304" s="18" t="s">
        <v>189</v>
      </c>
      <c r="C304" s="19" t="s">
        <v>177</v>
      </c>
      <c r="D304" s="20">
        <v>2</v>
      </c>
      <c r="E304" s="13"/>
      <c r="F304" s="13"/>
      <c r="G304" s="14"/>
    </row>
    <row r="305" spans="1:7" s="5" customFormat="1" ht="38.25">
      <c r="A305" s="29">
        <f t="shared" si="8"/>
        <v>8.120999999999993</v>
      </c>
      <c r="B305" s="18" t="s">
        <v>190</v>
      </c>
      <c r="C305" s="19" t="s">
        <v>177</v>
      </c>
      <c r="D305" s="20">
        <v>2</v>
      </c>
      <c r="E305" s="13"/>
      <c r="F305" s="13"/>
      <c r="G305" s="14"/>
    </row>
    <row r="306" spans="1:7" s="5" customFormat="1" ht="38.25">
      <c r="A306" s="29">
        <f t="shared" si="8"/>
        <v>8.121999999999993</v>
      </c>
      <c r="B306" s="18" t="s">
        <v>191</v>
      </c>
      <c r="C306" s="19" t="s">
        <v>177</v>
      </c>
      <c r="D306" s="20">
        <v>1</v>
      </c>
      <c r="E306" s="13"/>
      <c r="F306" s="13"/>
      <c r="G306" s="14"/>
    </row>
    <row r="307" spans="1:7" s="5" customFormat="1" ht="25.5">
      <c r="A307" s="29">
        <f t="shared" si="8"/>
        <v>8.122999999999992</v>
      </c>
      <c r="B307" s="18" t="s">
        <v>192</v>
      </c>
      <c r="C307" s="19" t="s">
        <v>177</v>
      </c>
      <c r="D307" s="20">
        <v>1</v>
      </c>
      <c r="E307" s="13"/>
      <c r="F307" s="13"/>
      <c r="G307" s="14"/>
    </row>
    <row r="308" spans="1:7" s="5" customFormat="1" ht="25.5">
      <c r="A308" s="29">
        <f t="shared" si="8"/>
        <v>8.123999999999992</v>
      </c>
      <c r="B308" s="18" t="s">
        <v>193</v>
      </c>
      <c r="C308" s="19" t="s">
        <v>177</v>
      </c>
      <c r="D308" s="20">
        <v>1</v>
      </c>
      <c r="E308" s="13"/>
      <c r="F308" s="13"/>
      <c r="G308" s="14"/>
    </row>
    <row r="309" spans="1:7" s="5" customFormat="1" ht="51">
      <c r="A309" s="29">
        <f t="shared" si="8"/>
        <v>8.124999999999991</v>
      </c>
      <c r="B309" s="18" t="s">
        <v>194</v>
      </c>
      <c r="C309" s="19" t="s">
        <v>177</v>
      </c>
      <c r="D309" s="20">
        <v>1</v>
      </c>
      <c r="E309" s="13"/>
      <c r="F309" s="13"/>
      <c r="G309" s="14"/>
    </row>
    <row r="310" spans="1:7" s="5" customFormat="1" ht="25.5">
      <c r="A310" s="29">
        <f t="shared" si="8"/>
        <v>8.12599999999999</v>
      </c>
      <c r="B310" s="18" t="s">
        <v>195</v>
      </c>
      <c r="C310" s="19" t="s">
        <v>177</v>
      </c>
      <c r="D310" s="20">
        <v>1</v>
      </c>
      <c r="E310" s="13"/>
      <c r="F310" s="13"/>
      <c r="G310" s="14"/>
    </row>
    <row r="311" spans="1:7" s="5" customFormat="1" ht="25.5">
      <c r="A311" s="29">
        <f t="shared" si="8"/>
        <v>8.12699999999999</v>
      </c>
      <c r="B311" s="18" t="s">
        <v>196</v>
      </c>
      <c r="C311" s="19" t="s">
        <v>177</v>
      </c>
      <c r="D311" s="20">
        <v>2</v>
      </c>
      <c r="E311" s="13"/>
      <c r="F311" s="13"/>
      <c r="G311" s="14"/>
    </row>
    <row r="312" spans="1:7" s="5" customFormat="1" ht="25.5">
      <c r="A312" s="29">
        <f t="shared" si="8"/>
        <v>8.12799999999999</v>
      </c>
      <c r="B312" s="18" t="s">
        <v>197</v>
      </c>
      <c r="C312" s="19" t="s">
        <v>177</v>
      </c>
      <c r="D312" s="20">
        <v>1</v>
      </c>
      <c r="E312" s="13"/>
      <c r="F312" s="13"/>
      <c r="G312" s="14"/>
    </row>
    <row r="313" spans="1:7" s="5" customFormat="1" ht="51">
      <c r="A313" s="29">
        <f t="shared" si="8"/>
        <v>8.128999999999989</v>
      </c>
      <c r="B313" s="18" t="s">
        <v>198</v>
      </c>
      <c r="C313" s="19" t="s">
        <v>177</v>
      </c>
      <c r="D313" s="20">
        <v>1</v>
      </c>
      <c r="E313" s="13"/>
      <c r="F313" s="13"/>
      <c r="G313" s="14"/>
    </row>
    <row r="314" spans="1:7" s="5" customFormat="1" ht="51">
      <c r="A314" s="29">
        <f t="shared" si="8"/>
        <v>8.129999999999988</v>
      </c>
      <c r="B314" s="18" t="s">
        <v>199</v>
      </c>
      <c r="C314" s="19" t="s">
        <v>200</v>
      </c>
      <c r="D314" s="20">
        <v>298.48</v>
      </c>
      <c r="E314" s="13"/>
      <c r="F314" s="13"/>
      <c r="G314" s="14"/>
    </row>
    <row r="315" spans="1:7" s="5" customFormat="1" ht="15">
      <c r="A315" s="29"/>
      <c r="B315" s="21" t="s">
        <v>170</v>
      </c>
      <c r="C315" s="19"/>
      <c r="D315" s="20"/>
      <c r="E315" s="13"/>
      <c r="F315" s="13"/>
      <c r="G315" s="14"/>
    </row>
    <row r="316" spans="1:7" s="5" customFormat="1" ht="12.75">
      <c r="A316" s="29">
        <v>8.131</v>
      </c>
      <c r="B316" s="18" t="s">
        <v>171</v>
      </c>
      <c r="C316" s="19" t="s">
        <v>10</v>
      </c>
      <c r="D316" s="20">
        <v>573.55588</v>
      </c>
      <c r="E316" s="13"/>
      <c r="F316" s="13"/>
      <c r="G316" s="14"/>
    </row>
    <row r="317" spans="1:7" s="5" customFormat="1" ht="12.75">
      <c r="A317" s="29">
        <f t="shared" si="8"/>
        <v>8.132</v>
      </c>
      <c r="B317" s="18" t="s">
        <v>172</v>
      </c>
      <c r="C317" s="19" t="s">
        <v>10</v>
      </c>
      <c r="D317" s="20">
        <v>573.55588</v>
      </c>
      <c r="E317" s="13"/>
      <c r="F317" s="13"/>
      <c r="G317" s="14"/>
    </row>
    <row r="318" spans="1:7" s="5" customFormat="1" ht="12.75">
      <c r="A318" s="29">
        <f t="shared" si="8"/>
        <v>8.133</v>
      </c>
      <c r="B318" s="18" t="s">
        <v>173</v>
      </c>
      <c r="C318" s="19" t="s">
        <v>10</v>
      </c>
      <c r="D318" s="20">
        <v>60.77</v>
      </c>
      <c r="E318" s="13"/>
      <c r="F318" s="13"/>
      <c r="G318" s="14"/>
    </row>
    <row r="319" spans="1:7" s="5" customFormat="1" ht="12.75">
      <c r="A319" s="29">
        <f t="shared" si="8"/>
        <v>8.133999999999999</v>
      </c>
      <c r="B319" s="18" t="s">
        <v>174</v>
      </c>
      <c r="C319" s="19" t="s">
        <v>10</v>
      </c>
      <c r="D319" s="20">
        <v>181.612396607811</v>
      </c>
      <c r="E319" s="13"/>
      <c r="F319" s="13"/>
      <c r="G319" s="14"/>
    </row>
    <row r="320" spans="1:7" s="5" customFormat="1" ht="13.5" thickBot="1">
      <c r="A320" s="29"/>
      <c r="B320" s="18"/>
      <c r="C320" s="19"/>
      <c r="D320" s="20"/>
      <c r="E320" s="13"/>
      <c r="F320" s="13"/>
      <c r="G320" s="14"/>
    </row>
    <row r="321" spans="1:7" s="5" customFormat="1" ht="13.5" thickBot="1">
      <c r="A321" s="29"/>
      <c r="B321" s="6"/>
      <c r="C321" s="23"/>
      <c r="D321" s="10"/>
      <c r="E321" s="71" t="str">
        <f>+B169</f>
        <v>CONSTRUCCION DE COCINA - COMEDOR </v>
      </c>
      <c r="F321" s="72"/>
      <c r="G321" s="16">
        <f>SUM(F170:F319)</f>
        <v>0</v>
      </c>
    </row>
    <row r="322" spans="1:7" s="5" customFormat="1" ht="13.5" thickBot="1">
      <c r="A322" s="29"/>
      <c r="B322" s="6"/>
      <c r="C322" s="23"/>
      <c r="D322" s="10"/>
      <c r="E322" s="13"/>
      <c r="F322" s="13"/>
      <c r="G322" s="14"/>
    </row>
    <row r="323" spans="1:7" s="5" customFormat="1" ht="13.5" thickBot="1">
      <c r="A323" s="28">
        <v>9</v>
      </c>
      <c r="B323" s="11" t="s">
        <v>263</v>
      </c>
      <c r="C323" s="23"/>
      <c r="D323" s="10"/>
      <c r="E323" s="13"/>
      <c r="F323" s="13"/>
      <c r="G323" s="14"/>
    </row>
    <row r="324" spans="1:7" s="5" customFormat="1" ht="12.75">
      <c r="A324" s="29">
        <f>+A323+0.001</f>
        <v>9.001</v>
      </c>
      <c r="B324" s="6" t="s">
        <v>396</v>
      </c>
      <c r="C324" s="23" t="s">
        <v>10</v>
      </c>
      <c r="D324" s="10">
        <f>19*12</f>
        <v>228</v>
      </c>
      <c r="E324" s="13"/>
      <c r="F324" s="13"/>
      <c r="G324" s="14"/>
    </row>
    <row r="325" spans="1:7" s="5" customFormat="1" ht="15">
      <c r="A325" s="29"/>
      <c r="B325" s="21" t="s">
        <v>265</v>
      </c>
      <c r="C325" s="23"/>
      <c r="D325" s="10"/>
      <c r="E325" s="13"/>
      <c r="F325" s="13"/>
      <c r="G325" s="14"/>
    </row>
    <row r="326" spans="1:7" s="5" customFormat="1" ht="25.5">
      <c r="A326" s="29">
        <v>9.002</v>
      </c>
      <c r="B326" s="6" t="s">
        <v>344</v>
      </c>
      <c r="C326" s="23" t="s">
        <v>15</v>
      </c>
      <c r="D326" s="10">
        <f>43.59*0.45*1</f>
        <v>19.6155</v>
      </c>
      <c r="E326" s="13"/>
      <c r="F326" s="13"/>
      <c r="G326" s="14"/>
    </row>
    <row r="327" spans="1:7" s="5" customFormat="1" ht="25.5">
      <c r="A327" s="29">
        <f>+A326+0.001</f>
        <v>9.003</v>
      </c>
      <c r="B327" s="6" t="s">
        <v>345</v>
      </c>
      <c r="C327" s="23" t="s">
        <v>15</v>
      </c>
      <c r="D327" s="10">
        <f>100.14*0.6*1</f>
        <v>60.083999999999996</v>
      </c>
      <c r="E327" s="13"/>
      <c r="F327" s="13"/>
      <c r="G327" s="14"/>
    </row>
    <row r="328" spans="1:7" s="5" customFormat="1" ht="12.75">
      <c r="A328" s="29">
        <v>9.04</v>
      </c>
      <c r="B328" s="6" t="s">
        <v>267</v>
      </c>
      <c r="C328" s="23" t="s">
        <v>15</v>
      </c>
      <c r="D328" s="10">
        <v>31</v>
      </c>
      <c r="E328" s="13"/>
      <c r="F328" s="13"/>
      <c r="G328" s="14"/>
    </row>
    <row r="329" spans="1:7" s="5" customFormat="1" ht="12.75">
      <c r="A329" s="29">
        <v>9.006</v>
      </c>
      <c r="B329" s="6" t="s">
        <v>269</v>
      </c>
      <c r="C329" s="23" t="s">
        <v>50</v>
      </c>
      <c r="D329" s="10">
        <f>SUM(D326:D328)</f>
        <v>110.6995</v>
      </c>
      <c r="E329" s="13"/>
      <c r="F329" s="13"/>
      <c r="G329" s="14"/>
    </row>
    <row r="330" spans="1:7" s="5" customFormat="1" ht="12.75">
      <c r="A330" s="29">
        <f aca="true" t="shared" si="9" ref="A330:A393">+A329+0.001</f>
        <v>9.007</v>
      </c>
      <c r="B330" s="6" t="s">
        <v>270</v>
      </c>
      <c r="C330" s="23" t="s">
        <v>16</v>
      </c>
      <c r="D330" s="10">
        <f>+D329*0.4</f>
        <v>44.2798</v>
      </c>
      <c r="E330" s="13"/>
      <c r="F330" s="13"/>
      <c r="G330" s="14"/>
    </row>
    <row r="331" spans="1:7" s="5" customFormat="1" ht="15">
      <c r="A331" s="29"/>
      <c r="B331" s="21" t="s">
        <v>271</v>
      </c>
      <c r="C331" s="23"/>
      <c r="D331" s="10"/>
      <c r="E331" s="13"/>
      <c r="F331" s="13"/>
      <c r="G331" s="14"/>
    </row>
    <row r="332" spans="1:7" s="5" customFormat="1" ht="12.75">
      <c r="A332" s="29">
        <v>9.008</v>
      </c>
      <c r="B332" s="6" t="s">
        <v>346</v>
      </c>
      <c r="C332" s="23" t="s">
        <v>0</v>
      </c>
      <c r="D332" s="10">
        <f>43.59*0.45*0.3</f>
        <v>5.88465</v>
      </c>
      <c r="E332" s="13"/>
      <c r="F332" s="13"/>
      <c r="G332" s="14"/>
    </row>
    <row r="333" spans="1:7" s="5" customFormat="1" ht="12.75">
      <c r="A333" s="29">
        <f>+A332+0.001</f>
        <v>9.008999999999999</v>
      </c>
      <c r="B333" s="6" t="s">
        <v>273</v>
      </c>
      <c r="C333" s="23" t="s">
        <v>0</v>
      </c>
      <c r="D333" s="10">
        <f>100.14*0.8*0.3</f>
        <v>24.033600000000003</v>
      </c>
      <c r="E333" s="13"/>
      <c r="F333" s="13"/>
      <c r="G333" s="14"/>
    </row>
    <row r="334" spans="1:7" s="5" customFormat="1" ht="12.75">
      <c r="A334" s="29">
        <f t="shared" si="9"/>
        <v>9.009999999999998</v>
      </c>
      <c r="B334" s="6" t="s">
        <v>275</v>
      </c>
      <c r="C334" s="23" t="s">
        <v>0</v>
      </c>
      <c r="D334" s="10">
        <f>1.55*1*20*0.3</f>
        <v>9.299999999999999</v>
      </c>
      <c r="E334" s="13"/>
      <c r="F334" s="13"/>
      <c r="G334" s="14"/>
    </row>
    <row r="335" spans="1:7" s="5" customFormat="1" ht="15">
      <c r="A335" s="29"/>
      <c r="B335" s="21" t="s">
        <v>388</v>
      </c>
      <c r="C335" s="23"/>
      <c r="D335" s="10"/>
      <c r="E335" s="13"/>
      <c r="F335" s="13"/>
      <c r="G335" s="14"/>
    </row>
    <row r="336" spans="1:7" s="5" customFormat="1" ht="12.75">
      <c r="A336" s="29">
        <v>9.011</v>
      </c>
      <c r="B336" s="6" t="s">
        <v>347</v>
      </c>
      <c r="C336" s="23" t="s">
        <v>0</v>
      </c>
      <c r="D336" s="10">
        <f>40*0.15*0.2*3.8</f>
        <v>4.5600000000000005</v>
      </c>
      <c r="E336" s="13"/>
      <c r="F336" s="13"/>
      <c r="G336" s="14"/>
    </row>
    <row r="337" spans="1:7" s="5" customFormat="1" ht="12.75">
      <c r="A337" s="29">
        <f t="shared" si="9"/>
        <v>9.011999999999999</v>
      </c>
      <c r="B337" s="6" t="s">
        <v>278</v>
      </c>
      <c r="C337" s="23" t="s">
        <v>0</v>
      </c>
      <c r="D337" s="10">
        <f>0.4*0.2*3.8*16</f>
        <v>4.864000000000001</v>
      </c>
      <c r="E337" s="13"/>
      <c r="F337" s="13"/>
      <c r="G337" s="14"/>
    </row>
    <row r="338" spans="1:7" s="5" customFormat="1" ht="12.75">
      <c r="A338" s="29">
        <f t="shared" si="9"/>
        <v>9.012999999999998</v>
      </c>
      <c r="B338" s="6" t="s">
        <v>260</v>
      </c>
      <c r="C338" s="23" t="s">
        <v>0</v>
      </c>
      <c r="D338" s="10">
        <f>7*0.2*0.15*3.8</f>
        <v>0.798</v>
      </c>
      <c r="E338" s="13"/>
      <c r="F338" s="13"/>
      <c r="G338" s="14"/>
    </row>
    <row r="339" spans="1:7" s="5" customFormat="1" ht="12.75">
      <c r="A339" s="29">
        <f t="shared" si="9"/>
        <v>9.013999999999998</v>
      </c>
      <c r="B339" s="6" t="s">
        <v>261</v>
      </c>
      <c r="C339" s="23" t="s">
        <v>0</v>
      </c>
      <c r="D339" s="10">
        <f>0.2*0.2*3.8*3</f>
        <v>0.45600000000000007</v>
      </c>
      <c r="E339" s="13"/>
      <c r="F339" s="13"/>
      <c r="G339" s="14"/>
    </row>
    <row r="340" spans="1:7" s="5" customFormat="1" ht="12.75">
      <c r="A340" s="29">
        <f t="shared" si="9"/>
        <v>9.014999999999997</v>
      </c>
      <c r="B340" s="6" t="s">
        <v>350</v>
      </c>
      <c r="C340" s="23" t="s">
        <v>0</v>
      </c>
      <c r="D340" s="10">
        <f>6.8*2*0.2*0.5</f>
        <v>1.36</v>
      </c>
      <c r="E340" s="13"/>
      <c r="F340" s="13"/>
      <c r="G340" s="14"/>
    </row>
    <row r="341" spans="1:7" s="5" customFormat="1" ht="12.75">
      <c r="A341" s="29">
        <f t="shared" si="9"/>
        <v>9.015999999999996</v>
      </c>
      <c r="B341" s="6" t="s">
        <v>351</v>
      </c>
      <c r="C341" s="23" t="s">
        <v>0</v>
      </c>
      <c r="D341" s="10">
        <f>+(57.94*0.2*0.32)*1.08</f>
        <v>4.004812800000001</v>
      </c>
      <c r="E341" s="13"/>
      <c r="F341" s="13"/>
      <c r="G341" s="14"/>
    </row>
    <row r="342" spans="1:7" s="5" customFormat="1" ht="12.75">
      <c r="A342" s="29">
        <f t="shared" si="9"/>
        <v>9.016999999999996</v>
      </c>
      <c r="B342" s="6" t="s">
        <v>353</v>
      </c>
      <c r="C342" s="23" t="s">
        <v>0</v>
      </c>
      <c r="D342" s="10">
        <f>36*0.2*0.6</f>
        <v>4.32</v>
      </c>
      <c r="E342" s="13"/>
      <c r="F342" s="13"/>
      <c r="G342" s="14"/>
    </row>
    <row r="343" spans="1:7" s="5" customFormat="1" ht="12.75">
      <c r="A343" s="29">
        <f t="shared" si="9"/>
        <v>9.017999999999995</v>
      </c>
      <c r="B343" s="6" t="s">
        <v>352</v>
      </c>
      <c r="C343" s="23" t="s">
        <v>0</v>
      </c>
      <c r="D343" s="10">
        <f>39*0.2*0.32</f>
        <v>2.4960000000000004</v>
      </c>
      <c r="E343" s="13"/>
      <c r="F343" s="13"/>
      <c r="G343" s="14"/>
    </row>
    <row r="344" spans="1:7" s="5" customFormat="1" ht="12.75">
      <c r="A344" s="29">
        <f t="shared" si="9"/>
        <v>9.018999999999995</v>
      </c>
      <c r="B344" s="6" t="s">
        <v>349</v>
      </c>
      <c r="C344" s="23" t="s">
        <v>0</v>
      </c>
      <c r="D344" s="10">
        <f>13*1.4*0.2*0.2</f>
        <v>0.7280000000000001</v>
      </c>
      <c r="E344" s="13"/>
      <c r="F344" s="13"/>
      <c r="G344" s="14"/>
    </row>
    <row r="345" spans="1:7" s="5" customFormat="1" ht="12.75">
      <c r="A345" s="29">
        <f t="shared" si="9"/>
        <v>9.019999999999994</v>
      </c>
      <c r="B345" s="6" t="s">
        <v>402</v>
      </c>
      <c r="C345" s="23" t="s">
        <v>0</v>
      </c>
      <c r="D345" s="10">
        <f>73.3*0.12</f>
        <v>8.796</v>
      </c>
      <c r="E345" s="13"/>
      <c r="F345" s="13"/>
      <c r="G345" s="14"/>
    </row>
    <row r="346" spans="1:7" s="5" customFormat="1" ht="15">
      <c r="A346" s="29"/>
      <c r="B346" s="21" t="s">
        <v>288</v>
      </c>
      <c r="C346" s="23"/>
      <c r="D346" s="10"/>
      <c r="E346" s="13"/>
      <c r="F346" s="13"/>
      <c r="G346" s="14"/>
    </row>
    <row r="347" spans="1:7" s="5" customFormat="1" ht="12.75">
      <c r="A347" s="29">
        <v>9.021</v>
      </c>
      <c r="B347" s="6" t="s">
        <v>289</v>
      </c>
      <c r="C347" s="23" t="s">
        <v>10</v>
      </c>
      <c r="D347" s="10">
        <v>73.3</v>
      </c>
      <c r="E347" s="13"/>
      <c r="F347" s="13"/>
      <c r="G347" s="14"/>
    </row>
    <row r="348" spans="1:7" s="5" customFormat="1" ht="12.75">
      <c r="A348" s="29">
        <f t="shared" si="9"/>
        <v>9.022</v>
      </c>
      <c r="B348" s="6" t="s">
        <v>290</v>
      </c>
      <c r="C348" s="23" t="s">
        <v>11</v>
      </c>
      <c r="D348" s="10">
        <f>10.4*4</f>
        <v>41.6</v>
      </c>
      <c r="E348" s="13"/>
      <c r="F348" s="13"/>
      <c r="G348" s="14"/>
    </row>
    <row r="349" spans="1:7" s="5" customFormat="1" ht="12.75">
      <c r="A349" s="29">
        <f t="shared" si="9"/>
        <v>9.023</v>
      </c>
      <c r="B349" s="6" t="s">
        <v>291</v>
      </c>
      <c r="C349" s="23" t="s">
        <v>10</v>
      </c>
      <c r="D349" s="10">
        <f>+D347</f>
        <v>73.3</v>
      </c>
      <c r="E349" s="13"/>
      <c r="F349" s="13"/>
      <c r="G349" s="14"/>
    </row>
    <row r="350" spans="1:7" s="5" customFormat="1" ht="15">
      <c r="A350" s="29"/>
      <c r="B350" s="21" t="s">
        <v>296</v>
      </c>
      <c r="C350" s="23"/>
      <c r="D350" s="10"/>
      <c r="E350" s="13"/>
      <c r="F350" s="13"/>
      <c r="G350" s="14"/>
    </row>
    <row r="351" spans="1:7" s="5" customFormat="1" ht="12.75">
      <c r="A351" s="29">
        <v>9.024</v>
      </c>
      <c r="B351" s="6" t="s">
        <v>354</v>
      </c>
      <c r="C351" s="23" t="s">
        <v>10</v>
      </c>
      <c r="D351" s="10">
        <f>83.55*0.8</f>
        <v>66.84</v>
      </c>
      <c r="E351" s="13"/>
      <c r="F351" s="13"/>
      <c r="G351" s="14"/>
    </row>
    <row r="352" spans="1:7" s="5" customFormat="1" ht="12.75">
      <c r="A352" s="29">
        <f t="shared" si="9"/>
        <v>9.024999999999999</v>
      </c>
      <c r="B352" s="6" t="s">
        <v>355</v>
      </c>
      <c r="C352" s="23" t="s">
        <v>10</v>
      </c>
      <c r="D352" s="10">
        <f>63.2*0.6</f>
        <v>37.92</v>
      </c>
      <c r="E352" s="13"/>
      <c r="F352" s="13"/>
      <c r="G352" s="14"/>
    </row>
    <row r="353" spans="1:7" s="5" customFormat="1" ht="12.75">
      <c r="A353" s="29">
        <f t="shared" si="9"/>
        <v>9.025999999999998</v>
      </c>
      <c r="B353" s="6" t="s">
        <v>357</v>
      </c>
      <c r="C353" s="23" t="s">
        <v>10</v>
      </c>
      <c r="D353" s="10">
        <f>83.55*3</f>
        <v>250.64999999999998</v>
      </c>
      <c r="E353" s="13"/>
      <c r="F353" s="13"/>
      <c r="G353" s="14"/>
    </row>
    <row r="354" spans="1:7" s="5" customFormat="1" ht="12.75">
      <c r="A354" s="29">
        <f t="shared" si="9"/>
        <v>9.026999999999997</v>
      </c>
      <c r="B354" s="6" t="s">
        <v>356</v>
      </c>
      <c r="C354" s="23" t="s">
        <v>10</v>
      </c>
      <c r="D354" s="10">
        <f>63.2*3</f>
        <v>189.60000000000002</v>
      </c>
      <c r="E354" s="13"/>
      <c r="F354" s="13"/>
      <c r="G354" s="14"/>
    </row>
    <row r="355" spans="1:7" s="5" customFormat="1" ht="15">
      <c r="A355" s="29"/>
      <c r="B355" s="21" t="s">
        <v>292</v>
      </c>
      <c r="C355" s="23"/>
      <c r="D355" s="10"/>
      <c r="E355" s="13"/>
      <c r="F355" s="13"/>
      <c r="G355" s="14"/>
    </row>
    <row r="356" spans="1:7" s="5" customFormat="1" ht="12.75">
      <c r="A356" s="29">
        <v>9.028</v>
      </c>
      <c r="B356" s="6" t="s">
        <v>262</v>
      </c>
      <c r="C356" s="23" t="s">
        <v>10</v>
      </c>
      <c r="D356" s="10">
        <f>SUM(D353:D354)*2</f>
        <v>880.5</v>
      </c>
      <c r="E356" s="13"/>
      <c r="F356" s="13"/>
      <c r="G356" s="14"/>
    </row>
    <row r="357" spans="1:7" s="5" customFormat="1" ht="12.75">
      <c r="A357" s="29">
        <f t="shared" si="9"/>
        <v>9.029</v>
      </c>
      <c r="B357" s="6" t="s">
        <v>293</v>
      </c>
      <c r="C357" s="23" t="s">
        <v>10</v>
      </c>
      <c r="D357" s="10">
        <f>+D356</f>
        <v>880.5</v>
      </c>
      <c r="E357" s="13"/>
      <c r="F357" s="13"/>
      <c r="G357" s="14"/>
    </row>
    <row r="358" spans="1:7" s="5" customFormat="1" ht="12.75">
      <c r="A358" s="29">
        <f t="shared" si="9"/>
        <v>9.03</v>
      </c>
      <c r="B358" s="18" t="s">
        <v>309</v>
      </c>
      <c r="C358" s="23" t="s">
        <v>11</v>
      </c>
      <c r="D358" s="10">
        <v>525</v>
      </c>
      <c r="E358" s="13"/>
      <c r="F358" s="13"/>
      <c r="G358" s="14"/>
    </row>
    <row r="359" spans="1:7" s="5" customFormat="1" ht="12.75">
      <c r="A359" s="29">
        <f t="shared" si="9"/>
        <v>9.030999999999999</v>
      </c>
      <c r="B359" s="6" t="s">
        <v>361</v>
      </c>
      <c r="C359" s="23" t="s">
        <v>10</v>
      </c>
      <c r="D359" s="10">
        <f>60*1.8</f>
        <v>108</v>
      </c>
      <c r="E359" s="13"/>
      <c r="F359" s="13"/>
      <c r="G359" s="14"/>
    </row>
    <row r="360" spans="1:7" s="5" customFormat="1" ht="12.75">
      <c r="A360" s="29">
        <f t="shared" si="9"/>
        <v>9.031999999999998</v>
      </c>
      <c r="B360" s="6" t="s">
        <v>360</v>
      </c>
      <c r="C360" s="23" t="s">
        <v>10</v>
      </c>
      <c r="D360" s="10">
        <f>6.2*0.8</f>
        <v>4.960000000000001</v>
      </c>
      <c r="E360" s="13"/>
      <c r="F360" s="13"/>
      <c r="G360" s="14"/>
    </row>
    <row r="361" spans="1:7" s="5" customFormat="1" ht="12.75">
      <c r="A361" s="29">
        <f t="shared" si="9"/>
        <v>9.032999999999998</v>
      </c>
      <c r="B361" s="6" t="s">
        <v>299</v>
      </c>
      <c r="C361" s="23" t="s">
        <v>10</v>
      </c>
      <c r="D361" s="10">
        <v>38.02</v>
      </c>
      <c r="E361" s="13"/>
      <c r="F361" s="13"/>
      <c r="G361" s="14"/>
    </row>
    <row r="362" spans="1:7" s="5" customFormat="1" ht="12.75">
      <c r="A362" s="29">
        <f t="shared" si="9"/>
        <v>9.033999999999997</v>
      </c>
      <c r="B362" s="6" t="s">
        <v>300</v>
      </c>
      <c r="C362" s="23" t="s">
        <v>11</v>
      </c>
      <c r="D362" s="10">
        <f>9.2*6</f>
        <v>55.199999999999996</v>
      </c>
      <c r="E362" s="13"/>
      <c r="F362" s="13"/>
      <c r="G362" s="14"/>
    </row>
    <row r="363" spans="1:7" s="5" customFormat="1" ht="15">
      <c r="A363" s="29"/>
      <c r="B363" s="21" t="s">
        <v>316</v>
      </c>
      <c r="C363" s="23"/>
      <c r="D363" s="10"/>
      <c r="E363" s="13"/>
      <c r="F363" s="13"/>
      <c r="G363" s="14"/>
    </row>
    <row r="364" spans="1:7" s="5" customFormat="1" ht="25.5">
      <c r="A364" s="29">
        <v>9.035</v>
      </c>
      <c r="B364" s="6" t="s">
        <v>362</v>
      </c>
      <c r="C364" s="23" t="s">
        <v>10</v>
      </c>
      <c r="D364" s="10">
        <v>200</v>
      </c>
      <c r="E364" s="13"/>
      <c r="F364" s="13"/>
      <c r="G364" s="14"/>
    </row>
    <row r="365" spans="1:7" s="5" customFormat="1" ht="12.75">
      <c r="A365" s="29">
        <f t="shared" si="9"/>
        <v>9.036</v>
      </c>
      <c r="B365" s="6" t="s">
        <v>359</v>
      </c>
      <c r="C365" s="23" t="s">
        <v>11</v>
      </c>
      <c r="D365" s="10">
        <v>35.8</v>
      </c>
      <c r="E365" s="13"/>
      <c r="F365" s="13"/>
      <c r="G365" s="14"/>
    </row>
    <row r="366" spans="1:7" s="5" customFormat="1" ht="12.75">
      <c r="A366" s="29">
        <f t="shared" si="9"/>
        <v>9.036999999999999</v>
      </c>
      <c r="B366" s="6" t="s">
        <v>358</v>
      </c>
      <c r="C366" s="23" t="s">
        <v>11</v>
      </c>
      <c r="D366" s="10">
        <f>8*9.5*2</f>
        <v>152</v>
      </c>
      <c r="E366" s="13"/>
      <c r="F366" s="13"/>
      <c r="G366" s="14"/>
    </row>
    <row r="367" spans="1:7" s="5" customFormat="1" ht="12.75">
      <c r="A367" s="29">
        <f t="shared" si="9"/>
        <v>9.037999999999998</v>
      </c>
      <c r="B367" s="6" t="s">
        <v>320</v>
      </c>
      <c r="C367" s="23" t="s">
        <v>11</v>
      </c>
      <c r="D367" s="10">
        <f>9.2*4</f>
        <v>36.8</v>
      </c>
      <c r="E367" s="13"/>
      <c r="F367" s="13"/>
      <c r="G367" s="14"/>
    </row>
    <row r="368" spans="1:7" s="5" customFormat="1" ht="12.75">
      <c r="A368" s="29">
        <f t="shared" si="9"/>
        <v>9.038999999999998</v>
      </c>
      <c r="B368" s="6" t="s">
        <v>318</v>
      </c>
      <c r="C368" s="23" t="s">
        <v>319</v>
      </c>
      <c r="D368" s="10">
        <v>1</v>
      </c>
      <c r="E368" s="13"/>
      <c r="F368" s="13"/>
      <c r="G368" s="14"/>
    </row>
    <row r="369" spans="1:7" s="5" customFormat="1" ht="15">
      <c r="A369" s="29"/>
      <c r="B369" s="21" t="s">
        <v>322</v>
      </c>
      <c r="C369" s="23"/>
      <c r="D369" s="10"/>
      <c r="E369" s="13"/>
      <c r="F369" s="13"/>
      <c r="G369" s="14"/>
    </row>
    <row r="370" spans="1:7" s="5" customFormat="1" ht="12.75">
      <c r="A370" s="29">
        <v>9.04</v>
      </c>
      <c r="B370" s="6" t="s">
        <v>348</v>
      </c>
      <c r="C370" s="23" t="s">
        <v>0</v>
      </c>
      <c r="D370" s="10"/>
      <c r="E370" s="13"/>
      <c r="F370" s="13"/>
      <c r="G370" s="14"/>
    </row>
    <row r="371" spans="1:7" s="5" customFormat="1" ht="12.75">
      <c r="A371" s="29">
        <f t="shared" si="9"/>
        <v>9.040999999999999</v>
      </c>
      <c r="B371" s="6" t="s">
        <v>325</v>
      </c>
      <c r="C371" s="23" t="s">
        <v>10</v>
      </c>
      <c r="D371" s="10">
        <f>224.42*1.1</f>
        <v>246.862</v>
      </c>
      <c r="E371" s="13"/>
      <c r="F371" s="13"/>
      <c r="G371" s="14"/>
    </row>
    <row r="372" spans="1:7" s="5" customFormat="1" ht="12.75">
      <c r="A372" s="29">
        <f t="shared" si="9"/>
        <v>9.041999999999998</v>
      </c>
      <c r="B372" s="6" t="s">
        <v>323</v>
      </c>
      <c r="C372" s="23" t="s">
        <v>11</v>
      </c>
      <c r="D372" s="10">
        <f>162*2</f>
        <v>324</v>
      </c>
      <c r="E372" s="13"/>
      <c r="F372" s="13"/>
      <c r="G372" s="14"/>
    </row>
    <row r="373" spans="1:7" s="5" customFormat="1" ht="12.75">
      <c r="A373" s="29">
        <f t="shared" si="9"/>
        <v>9.042999999999997</v>
      </c>
      <c r="B373" s="6" t="s">
        <v>326</v>
      </c>
      <c r="C373" s="23" t="s">
        <v>10</v>
      </c>
      <c r="D373" s="10">
        <f>+D371+(D374*0.07)</f>
        <v>258.692</v>
      </c>
      <c r="E373" s="13"/>
      <c r="F373" s="13"/>
      <c r="G373" s="14"/>
    </row>
    <row r="374" spans="1:7" s="5" customFormat="1" ht="12.75">
      <c r="A374" s="29">
        <f t="shared" si="9"/>
        <v>9.043999999999997</v>
      </c>
      <c r="B374" s="6" t="s">
        <v>324</v>
      </c>
      <c r="C374" s="23" t="s">
        <v>11</v>
      </c>
      <c r="D374" s="10">
        <f>144+25</f>
        <v>169</v>
      </c>
      <c r="E374" s="13"/>
      <c r="F374" s="13"/>
      <c r="G374" s="14"/>
    </row>
    <row r="375" spans="1:7" s="5" customFormat="1" ht="15">
      <c r="A375" s="29"/>
      <c r="B375" s="21" t="s">
        <v>363</v>
      </c>
      <c r="C375" s="23"/>
      <c r="D375" s="10"/>
      <c r="E375" s="13"/>
      <c r="F375" s="13"/>
      <c r="G375" s="14"/>
    </row>
    <row r="376" spans="1:7" s="5" customFormat="1" ht="12.75">
      <c r="A376" s="29">
        <v>9.045</v>
      </c>
      <c r="B376" s="6" t="s">
        <v>379</v>
      </c>
      <c r="C376" s="23" t="s">
        <v>12</v>
      </c>
      <c r="D376" s="10">
        <v>1</v>
      </c>
      <c r="E376" s="13"/>
      <c r="F376" s="13"/>
      <c r="G376" s="14"/>
    </row>
    <row r="377" spans="1:7" s="5" customFormat="1" ht="12.75">
      <c r="A377" s="29">
        <f t="shared" si="9"/>
        <v>9.046</v>
      </c>
      <c r="B377" s="6" t="s">
        <v>380</v>
      </c>
      <c r="C377" s="23" t="s">
        <v>12</v>
      </c>
      <c r="D377" s="10">
        <v>1</v>
      </c>
      <c r="E377" s="13"/>
      <c r="F377" s="13"/>
      <c r="G377" s="14"/>
    </row>
    <row r="378" spans="1:7" s="5" customFormat="1" ht="12.75">
      <c r="A378" s="29">
        <f t="shared" si="9"/>
        <v>9.046999999999999</v>
      </c>
      <c r="B378" s="6" t="s">
        <v>381</v>
      </c>
      <c r="C378" s="23" t="s">
        <v>12</v>
      </c>
      <c r="D378" s="10">
        <v>1</v>
      </c>
      <c r="E378" s="13"/>
      <c r="F378" s="13"/>
      <c r="G378" s="14"/>
    </row>
    <row r="379" spans="1:7" s="5" customFormat="1" ht="25.5">
      <c r="A379" s="29">
        <f t="shared" si="9"/>
        <v>9.047999999999998</v>
      </c>
      <c r="B379" s="6" t="s">
        <v>403</v>
      </c>
      <c r="C379" s="23" t="s">
        <v>27</v>
      </c>
      <c r="D379" s="10">
        <v>5</v>
      </c>
      <c r="E379" s="13"/>
      <c r="F379" s="13"/>
      <c r="G379" s="14"/>
    </row>
    <row r="380" spans="1:7" s="5" customFormat="1" ht="12.75">
      <c r="A380" s="29">
        <f t="shared" si="9"/>
        <v>9.048999999999998</v>
      </c>
      <c r="B380" s="6" t="s">
        <v>368</v>
      </c>
      <c r="C380" s="23" t="s">
        <v>364</v>
      </c>
      <c r="D380" s="10">
        <v>32.16</v>
      </c>
      <c r="E380" s="13"/>
      <c r="F380" s="13"/>
      <c r="G380" s="14"/>
    </row>
    <row r="381" spans="1:7" s="5" customFormat="1" ht="12.75">
      <c r="A381" s="29">
        <f t="shared" si="9"/>
        <v>9.049999999999997</v>
      </c>
      <c r="B381" s="6" t="s">
        <v>369</v>
      </c>
      <c r="C381" s="23" t="s">
        <v>364</v>
      </c>
      <c r="D381" s="10">
        <v>8.4</v>
      </c>
      <c r="E381" s="13"/>
      <c r="F381" s="13"/>
      <c r="G381" s="14"/>
    </row>
    <row r="382" spans="1:7" s="5" customFormat="1" ht="25.5">
      <c r="A382" s="29">
        <f t="shared" si="9"/>
        <v>9.050999999999997</v>
      </c>
      <c r="B382" s="6" t="s">
        <v>370</v>
      </c>
      <c r="C382" s="23" t="s">
        <v>27</v>
      </c>
      <c r="D382" s="10">
        <v>1</v>
      </c>
      <c r="E382" s="13"/>
      <c r="F382" s="13"/>
      <c r="G382" s="14"/>
    </row>
    <row r="383" spans="1:7" s="5" customFormat="1" ht="25.5">
      <c r="A383" s="29">
        <f t="shared" si="9"/>
        <v>9.051999999999996</v>
      </c>
      <c r="B383" s="6" t="s">
        <v>371</v>
      </c>
      <c r="C383" s="23" t="s">
        <v>27</v>
      </c>
      <c r="D383" s="10">
        <v>5</v>
      </c>
      <c r="E383" s="13"/>
      <c r="F383" s="13"/>
      <c r="G383" s="14"/>
    </row>
    <row r="384" spans="1:7" s="5" customFormat="1" ht="12.75">
      <c r="A384" s="29">
        <f t="shared" si="9"/>
        <v>9.052999999999995</v>
      </c>
      <c r="B384" s="6" t="s">
        <v>367</v>
      </c>
      <c r="C384" s="23" t="s">
        <v>27</v>
      </c>
      <c r="D384" s="10">
        <v>5</v>
      </c>
      <c r="E384" s="13"/>
      <c r="F384" s="13"/>
      <c r="G384" s="14"/>
    </row>
    <row r="385" spans="1:7" s="5" customFormat="1" ht="25.5">
      <c r="A385" s="29">
        <f t="shared" si="9"/>
        <v>9.053999999999995</v>
      </c>
      <c r="B385" s="6" t="s">
        <v>366</v>
      </c>
      <c r="C385" s="23" t="s">
        <v>27</v>
      </c>
      <c r="D385" s="10">
        <v>5</v>
      </c>
      <c r="E385" s="13"/>
      <c r="F385" s="13"/>
      <c r="G385" s="14"/>
    </row>
    <row r="386" spans="1:7" s="5" customFormat="1" ht="25.5">
      <c r="A386" s="29">
        <f t="shared" si="9"/>
        <v>9.054999999999994</v>
      </c>
      <c r="B386" s="6" t="s">
        <v>372</v>
      </c>
      <c r="C386" s="23" t="s">
        <v>27</v>
      </c>
      <c r="D386" s="10">
        <v>5</v>
      </c>
      <c r="E386" s="13"/>
      <c r="F386" s="13"/>
      <c r="G386" s="14"/>
    </row>
    <row r="387" spans="1:7" s="5" customFormat="1" ht="12.75">
      <c r="A387" s="29">
        <f t="shared" si="9"/>
        <v>9.055999999999994</v>
      </c>
      <c r="B387" s="6" t="s">
        <v>365</v>
      </c>
      <c r="C387" s="23" t="s">
        <v>27</v>
      </c>
      <c r="D387" s="10">
        <v>5</v>
      </c>
      <c r="E387" s="13"/>
      <c r="F387" s="13"/>
      <c r="G387" s="14"/>
    </row>
    <row r="388" spans="1:7" s="5" customFormat="1" ht="12.75">
      <c r="A388" s="29">
        <f t="shared" si="9"/>
        <v>9.056999999999993</v>
      </c>
      <c r="B388" s="6" t="s">
        <v>373</v>
      </c>
      <c r="C388" s="23" t="s">
        <v>27</v>
      </c>
      <c r="D388" s="10">
        <v>5</v>
      </c>
      <c r="E388" s="13"/>
      <c r="F388" s="13"/>
      <c r="G388" s="14"/>
    </row>
    <row r="389" spans="1:7" s="5" customFormat="1" ht="12.75">
      <c r="A389" s="29">
        <f t="shared" si="9"/>
        <v>9.057999999999993</v>
      </c>
      <c r="B389" s="6" t="s">
        <v>374</v>
      </c>
      <c r="C389" s="23" t="s">
        <v>27</v>
      </c>
      <c r="D389" s="10">
        <v>10</v>
      </c>
      <c r="E389" s="13"/>
      <c r="F389" s="13"/>
      <c r="G389" s="14"/>
    </row>
    <row r="390" spans="1:7" s="5" customFormat="1" ht="12.75">
      <c r="A390" s="29">
        <f t="shared" si="9"/>
        <v>9.058999999999992</v>
      </c>
      <c r="B390" s="6" t="s">
        <v>375</v>
      </c>
      <c r="C390" s="23" t="s">
        <v>27</v>
      </c>
      <c r="D390" s="10">
        <v>5</v>
      </c>
      <c r="E390" s="13"/>
      <c r="F390" s="13"/>
      <c r="G390" s="14"/>
    </row>
    <row r="391" spans="1:7" s="5" customFormat="1" ht="12.75">
      <c r="A391" s="29">
        <f t="shared" si="9"/>
        <v>9.059999999999992</v>
      </c>
      <c r="B391" s="6" t="s">
        <v>376</v>
      </c>
      <c r="C391" s="23" t="s">
        <v>27</v>
      </c>
      <c r="D391" s="10">
        <v>5</v>
      </c>
      <c r="E391" s="13"/>
      <c r="F391" s="13"/>
      <c r="G391" s="14"/>
    </row>
    <row r="392" spans="1:7" s="5" customFormat="1" ht="12.75">
      <c r="A392" s="29">
        <f t="shared" si="9"/>
        <v>9.060999999999991</v>
      </c>
      <c r="B392" s="6" t="s">
        <v>377</v>
      </c>
      <c r="C392" s="23" t="s">
        <v>27</v>
      </c>
      <c r="D392" s="10">
        <v>5</v>
      </c>
      <c r="E392" s="13"/>
      <c r="F392" s="13"/>
      <c r="G392" s="14"/>
    </row>
    <row r="393" spans="1:7" s="5" customFormat="1" ht="12.75">
      <c r="A393" s="29">
        <f t="shared" si="9"/>
        <v>9.06199999999999</v>
      </c>
      <c r="B393" s="6" t="s">
        <v>378</v>
      </c>
      <c r="C393" s="23" t="s">
        <v>27</v>
      </c>
      <c r="D393" s="10">
        <v>5</v>
      </c>
      <c r="E393" s="13"/>
      <c r="F393" s="13"/>
      <c r="G393" s="14"/>
    </row>
    <row r="394" spans="1:7" s="5" customFormat="1" ht="12.75">
      <c r="A394" s="29">
        <f aca="true" t="shared" si="10" ref="A394:A412">+A393+0.001</f>
        <v>9.06299999999999</v>
      </c>
      <c r="B394" s="6" t="s">
        <v>383</v>
      </c>
      <c r="C394" s="23" t="s">
        <v>13</v>
      </c>
      <c r="D394" s="10">
        <v>3</v>
      </c>
      <c r="E394" s="13"/>
      <c r="F394" s="13"/>
      <c r="G394" s="14"/>
    </row>
    <row r="395" spans="1:7" s="5" customFormat="1" ht="12.75">
      <c r="A395" s="29">
        <f t="shared" si="10"/>
        <v>9.06399999999999</v>
      </c>
      <c r="B395" s="6" t="s">
        <v>384</v>
      </c>
      <c r="C395" s="23" t="s">
        <v>13</v>
      </c>
      <c r="D395" s="10">
        <v>1</v>
      </c>
      <c r="E395" s="13"/>
      <c r="F395" s="13"/>
      <c r="G395" s="14"/>
    </row>
    <row r="396" spans="1:7" s="5" customFormat="1" ht="12.75">
      <c r="A396" s="29">
        <f t="shared" si="10"/>
        <v>9.064999999999989</v>
      </c>
      <c r="B396" s="6" t="s">
        <v>382</v>
      </c>
      <c r="C396" s="23" t="s">
        <v>11</v>
      </c>
      <c r="D396" s="10">
        <f>3*4</f>
        <v>12</v>
      </c>
      <c r="E396" s="13"/>
      <c r="F396" s="13"/>
      <c r="G396" s="14"/>
    </row>
    <row r="397" spans="1:7" s="5" customFormat="1" ht="15">
      <c r="A397" s="29"/>
      <c r="B397" s="21" t="s">
        <v>327</v>
      </c>
      <c r="C397" s="23"/>
      <c r="D397" s="10"/>
      <c r="E397" s="13"/>
      <c r="F397" s="13"/>
      <c r="G397" s="14"/>
    </row>
    <row r="398" spans="1:7" s="5" customFormat="1" ht="12.75">
      <c r="A398" s="29">
        <v>9.066</v>
      </c>
      <c r="B398" s="6" t="s">
        <v>330</v>
      </c>
      <c r="C398" s="23" t="s">
        <v>13</v>
      </c>
      <c r="D398" s="10">
        <v>8</v>
      </c>
      <c r="E398" s="13"/>
      <c r="F398" s="13"/>
      <c r="G398" s="14"/>
    </row>
    <row r="399" spans="1:7" s="5" customFormat="1" ht="12.75">
      <c r="A399" s="29">
        <f t="shared" si="10"/>
        <v>9.067</v>
      </c>
      <c r="B399" s="6" t="s">
        <v>331</v>
      </c>
      <c r="C399" s="23" t="s">
        <v>13</v>
      </c>
      <c r="D399" s="10">
        <v>5</v>
      </c>
      <c r="E399" s="13"/>
      <c r="F399" s="13"/>
      <c r="G399" s="14"/>
    </row>
    <row r="400" spans="1:7" s="5" customFormat="1" ht="12.75">
      <c r="A400" s="29">
        <f t="shared" si="10"/>
        <v>9.068</v>
      </c>
      <c r="B400" s="6" t="s">
        <v>332</v>
      </c>
      <c r="C400" s="23" t="s">
        <v>13</v>
      </c>
      <c r="D400" s="10">
        <v>3</v>
      </c>
      <c r="E400" s="13"/>
      <c r="F400" s="13"/>
      <c r="G400" s="14"/>
    </row>
    <row r="401" spans="1:7" s="5" customFormat="1" ht="12.75">
      <c r="A401" s="29">
        <f t="shared" si="10"/>
        <v>9.068999999999999</v>
      </c>
      <c r="B401" s="6" t="s">
        <v>328</v>
      </c>
      <c r="C401" s="23" t="s">
        <v>13</v>
      </c>
      <c r="D401" s="10">
        <v>8</v>
      </c>
      <c r="E401" s="13"/>
      <c r="F401" s="13"/>
      <c r="G401" s="14"/>
    </row>
    <row r="402" spans="1:7" s="5" customFormat="1" ht="12.75">
      <c r="A402" s="29">
        <f t="shared" si="10"/>
        <v>9.069999999999999</v>
      </c>
      <c r="B402" s="6" t="s">
        <v>329</v>
      </c>
      <c r="C402" s="23" t="s">
        <v>13</v>
      </c>
      <c r="D402" s="10">
        <v>4</v>
      </c>
      <c r="E402" s="13"/>
      <c r="F402" s="13"/>
      <c r="G402" s="14"/>
    </row>
    <row r="403" spans="1:7" s="5" customFormat="1" ht="12.75">
      <c r="A403" s="29">
        <f t="shared" si="10"/>
        <v>9.070999999999998</v>
      </c>
      <c r="B403" s="6" t="s">
        <v>333</v>
      </c>
      <c r="C403" s="23" t="s">
        <v>13</v>
      </c>
      <c r="D403" s="10">
        <f>+D401</f>
        <v>8</v>
      </c>
      <c r="E403" s="13"/>
      <c r="F403" s="13"/>
      <c r="G403" s="14"/>
    </row>
    <row r="404" spans="1:7" s="5" customFormat="1" ht="12.75">
      <c r="A404" s="29">
        <f t="shared" si="10"/>
        <v>9.071999999999997</v>
      </c>
      <c r="B404" s="6" t="s">
        <v>334</v>
      </c>
      <c r="C404" s="23" t="s">
        <v>159</v>
      </c>
      <c r="D404" s="10">
        <v>412.54</v>
      </c>
      <c r="E404" s="13"/>
      <c r="F404" s="13"/>
      <c r="G404" s="14"/>
    </row>
    <row r="405" spans="1:7" s="5" customFormat="1" ht="15">
      <c r="A405" s="29"/>
      <c r="B405" s="21" t="s">
        <v>338</v>
      </c>
      <c r="C405" s="23"/>
      <c r="D405" s="10"/>
      <c r="E405" s="13"/>
      <c r="F405" s="13"/>
      <c r="G405" s="14"/>
    </row>
    <row r="406" spans="1:7" s="5" customFormat="1" ht="12.75">
      <c r="A406" s="29">
        <v>9.073</v>
      </c>
      <c r="B406" s="6" t="s">
        <v>336</v>
      </c>
      <c r="C406" s="23" t="s">
        <v>11</v>
      </c>
      <c r="D406" s="10">
        <f>36*1.5</f>
        <v>54</v>
      </c>
      <c r="E406" s="13"/>
      <c r="F406" s="13"/>
      <c r="G406" s="14"/>
    </row>
    <row r="407" spans="1:7" s="5" customFormat="1" ht="12.75">
      <c r="A407" s="29">
        <f t="shared" si="10"/>
        <v>9.074</v>
      </c>
      <c r="B407" s="6" t="s">
        <v>335</v>
      </c>
      <c r="C407" s="23" t="s">
        <v>16</v>
      </c>
      <c r="D407" s="10">
        <f>54*1.2*0.3</f>
        <v>19.439999999999998</v>
      </c>
      <c r="E407" s="13"/>
      <c r="F407" s="13"/>
      <c r="G407" s="14"/>
    </row>
    <row r="408" spans="1:7" s="5" customFormat="1" ht="12.75">
      <c r="A408" s="29">
        <f t="shared" si="10"/>
        <v>9.075</v>
      </c>
      <c r="B408" s="6" t="s">
        <v>337</v>
      </c>
      <c r="C408" s="23" t="s">
        <v>10</v>
      </c>
      <c r="D408" s="10">
        <f>54*1.2</f>
        <v>64.8</v>
      </c>
      <c r="E408" s="13"/>
      <c r="F408" s="13"/>
      <c r="G408" s="14"/>
    </row>
    <row r="409" spans="1:7" s="5" customFormat="1" ht="15">
      <c r="A409" s="29"/>
      <c r="B409" s="21" t="s">
        <v>339</v>
      </c>
      <c r="C409" s="23"/>
      <c r="D409" s="10"/>
      <c r="E409" s="13"/>
      <c r="F409" s="13"/>
      <c r="G409" s="14"/>
    </row>
    <row r="410" spans="1:7" s="5" customFormat="1" ht="12.75">
      <c r="A410" s="29">
        <v>9.076</v>
      </c>
      <c r="B410" s="6" t="s">
        <v>342</v>
      </c>
      <c r="C410" s="23" t="s">
        <v>10</v>
      </c>
      <c r="D410" s="10">
        <f>+D357+165</f>
        <v>1045.5</v>
      </c>
      <c r="E410" s="13"/>
      <c r="F410" s="13"/>
      <c r="G410" s="14"/>
    </row>
    <row r="411" spans="1:7" s="5" customFormat="1" ht="12.75">
      <c r="A411" s="29">
        <f t="shared" si="10"/>
        <v>9.077</v>
      </c>
      <c r="B411" s="6" t="s">
        <v>340</v>
      </c>
      <c r="C411" s="23" t="s">
        <v>10</v>
      </c>
      <c r="D411" s="10">
        <f>+((D357+D347)*1.07)*0.6</f>
        <v>612.3396</v>
      </c>
      <c r="E411" s="13"/>
      <c r="F411" s="13"/>
      <c r="G411" s="14"/>
    </row>
    <row r="412" spans="1:7" s="5" customFormat="1" ht="12.75">
      <c r="A412" s="29">
        <f t="shared" si="10"/>
        <v>9.078</v>
      </c>
      <c r="B412" s="6" t="s">
        <v>341</v>
      </c>
      <c r="C412" s="23" t="s">
        <v>10</v>
      </c>
      <c r="D412" s="10">
        <f>+D410-D411</f>
        <v>433.1604</v>
      </c>
      <c r="E412" s="13"/>
      <c r="F412" s="13"/>
      <c r="G412" s="14"/>
    </row>
    <row r="413" spans="1:7" s="5" customFormat="1" ht="13.5" thickBot="1">
      <c r="A413" s="29"/>
      <c r="B413" s="6"/>
      <c r="C413" s="23"/>
      <c r="D413" s="10"/>
      <c r="E413" s="13"/>
      <c r="F413" s="13"/>
      <c r="G413" s="14"/>
    </row>
    <row r="414" spans="1:7" s="5" customFormat="1" ht="13.5" thickBot="1">
      <c r="A414" s="29"/>
      <c r="B414" s="6"/>
      <c r="C414" s="23"/>
      <c r="D414" s="10"/>
      <c r="E414" s="71" t="str">
        <f>+B323</f>
        <v>Construcción Área Administrativa </v>
      </c>
      <c r="F414" s="72"/>
      <c r="G414" s="16">
        <f>SUM(F322:F413)</f>
        <v>0</v>
      </c>
    </row>
    <row r="415" spans="1:7" s="5" customFormat="1" ht="13.5" thickBot="1">
      <c r="A415" s="29"/>
      <c r="B415" s="6"/>
      <c r="C415" s="23"/>
      <c r="D415" s="10"/>
      <c r="E415" s="13"/>
      <c r="F415" s="13"/>
      <c r="G415" s="14"/>
    </row>
    <row r="416" spans="1:7" s="5" customFormat="1" ht="16.5" thickBot="1">
      <c r="A416" s="28">
        <v>13</v>
      </c>
      <c r="B416" s="61" t="s">
        <v>475</v>
      </c>
      <c r="C416" s="23"/>
      <c r="D416" s="10"/>
      <c r="E416" s="43"/>
      <c r="F416" s="43"/>
      <c r="G416" s="30"/>
    </row>
    <row r="417" spans="1:7" s="5" customFormat="1" ht="15">
      <c r="A417" s="28"/>
      <c r="B417" s="30"/>
      <c r="C417" s="23"/>
      <c r="D417" s="10"/>
      <c r="E417" s="43"/>
      <c r="F417" s="43"/>
      <c r="G417" s="30"/>
    </row>
    <row r="418" spans="1:7" s="5" customFormat="1" ht="15.75">
      <c r="A418" s="30"/>
      <c r="B418" s="55" t="s">
        <v>484</v>
      </c>
      <c r="C418" s="30"/>
      <c r="D418" s="43"/>
      <c r="E418" s="43"/>
      <c r="F418" s="43"/>
      <c r="G418" s="30"/>
    </row>
    <row r="419" spans="1:7" s="5" customFormat="1" ht="12.75">
      <c r="A419" s="29">
        <f>+A416+0.001</f>
        <v>13.001</v>
      </c>
      <c r="B419" s="6" t="s">
        <v>488</v>
      </c>
      <c r="C419" s="23" t="s">
        <v>10</v>
      </c>
      <c r="D419" s="10">
        <v>1486</v>
      </c>
      <c r="E419" s="13"/>
      <c r="F419" s="13"/>
      <c r="G419" s="14"/>
    </row>
    <row r="420" spans="1:7" s="5" customFormat="1" ht="15">
      <c r="A420" s="29"/>
      <c r="B420" s="21" t="s">
        <v>265</v>
      </c>
      <c r="C420" s="23"/>
      <c r="D420" s="10"/>
      <c r="E420" s="13"/>
      <c r="F420" s="13"/>
      <c r="G420" s="14"/>
    </row>
    <row r="421" spans="1:7" s="5" customFormat="1" ht="12.75">
      <c r="A421" s="29">
        <v>13.002</v>
      </c>
      <c r="B421" s="6" t="s">
        <v>477</v>
      </c>
      <c r="C421" s="23" t="s">
        <v>15</v>
      </c>
      <c r="D421" s="10">
        <v>222.9</v>
      </c>
      <c r="E421" s="13"/>
      <c r="F421" s="13"/>
      <c r="G421" s="14"/>
    </row>
    <row r="422" spans="1:7" s="5" customFormat="1" ht="15">
      <c r="A422" s="29"/>
      <c r="B422" s="21" t="s">
        <v>271</v>
      </c>
      <c r="C422" s="23"/>
      <c r="D422" s="10"/>
      <c r="E422" s="13"/>
      <c r="F422" s="13"/>
      <c r="G422" s="14"/>
    </row>
    <row r="423" spans="1:7" s="5" customFormat="1" ht="12.75">
      <c r="A423" s="29">
        <v>13.003</v>
      </c>
      <c r="B423" s="6" t="s">
        <v>429</v>
      </c>
      <c r="C423" s="23" t="s">
        <v>0</v>
      </c>
      <c r="D423" s="10">
        <v>427.73</v>
      </c>
      <c r="E423" s="13"/>
      <c r="F423" s="13"/>
      <c r="G423" s="14"/>
    </row>
    <row r="424" spans="1:7" s="5" customFormat="1" ht="15">
      <c r="A424" s="29"/>
      <c r="B424" s="21" t="s">
        <v>388</v>
      </c>
      <c r="C424" s="23"/>
      <c r="D424" s="10"/>
      <c r="E424" s="13"/>
      <c r="F424" s="13"/>
      <c r="G424" s="14"/>
    </row>
    <row r="425" spans="1:7" s="5" customFormat="1" ht="15">
      <c r="A425" s="29">
        <v>13.004</v>
      </c>
      <c r="B425" s="52" t="s">
        <v>489</v>
      </c>
      <c r="C425" s="30"/>
      <c r="D425" s="43"/>
      <c r="E425" s="43"/>
      <c r="F425" s="43"/>
      <c r="G425" s="30"/>
    </row>
    <row r="426" spans="1:7" s="5" customFormat="1" ht="15">
      <c r="A426" s="29"/>
      <c r="B426" s="53" t="s">
        <v>479</v>
      </c>
      <c r="C426" s="23" t="s">
        <v>0</v>
      </c>
      <c r="D426" s="43">
        <v>7.962</v>
      </c>
      <c r="E426" s="13"/>
      <c r="F426" s="43"/>
      <c r="G426" s="30"/>
    </row>
    <row r="427" spans="1:7" s="5" customFormat="1" ht="15">
      <c r="A427" s="29"/>
      <c r="B427" s="54" t="s">
        <v>480</v>
      </c>
      <c r="C427" s="23" t="s">
        <v>0</v>
      </c>
      <c r="D427" s="43">
        <v>6.769</v>
      </c>
      <c r="E427" s="13"/>
      <c r="F427" s="43"/>
      <c r="G427" s="30"/>
    </row>
    <row r="428" spans="1:7" s="5" customFormat="1" ht="15">
      <c r="A428" s="29"/>
      <c r="B428" s="54" t="s">
        <v>481</v>
      </c>
      <c r="C428" s="23" t="s">
        <v>0</v>
      </c>
      <c r="D428" s="43">
        <v>0.324</v>
      </c>
      <c r="E428" s="13"/>
      <c r="F428" s="43"/>
      <c r="G428" s="30"/>
    </row>
    <row r="429" spans="1:7" s="5" customFormat="1" ht="15">
      <c r="A429" s="29">
        <v>13.005</v>
      </c>
      <c r="B429" s="52" t="s">
        <v>482</v>
      </c>
      <c r="C429" s="30"/>
      <c r="D429" s="43"/>
      <c r="E429" s="43"/>
      <c r="F429" s="43"/>
      <c r="G429" s="30"/>
    </row>
    <row r="430" spans="1:7" s="5" customFormat="1" ht="15">
      <c r="A430" s="29"/>
      <c r="B430" s="53" t="s">
        <v>479</v>
      </c>
      <c r="C430" s="23" t="s">
        <v>0</v>
      </c>
      <c r="D430" s="43">
        <v>1.243</v>
      </c>
      <c r="E430" s="13"/>
      <c r="F430" s="43"/>
      <c r="G430" s="30"/>
    </row>
    <row r="431" spans="1:7" s="5" customFormat="1" ht="15">
      <c r="A431" s="29"/>
      <c r="B431" s="54" t="s">
        <v>480</v>
      </c>
      <c r="C431" s="23" t="s">
        <v>0</v>
      </c>
      <c r="D431" s="43">
        <v>1.042</v>
      </c>
      <c r="E431" s="13"/>
      <c r="F431" s="43"/>
      <c r="G431" s="30"/>
    </row>
    <row r="432" spans="1:7" s="5" customFormat="1" ht="15">
      <c r="A432" s="29">
        <v>13.006</v>
      </c>
      <c r="B432" s="52" t="s">
        <v>483</v>
      </c>
      <c r="C432" s="30"/>
      <c r="D432" s="43"/>
      <c r="E432" s="43"/>
      <c r="F432" s="43"/>
      <c r="G432" s="30"/>
    </row>
    <row r="433" spans="1:7" s="5" customFormat="1" ht="15">
      <c r="A433" s="29"/>
      <c r="B433" s="53" t="s">
        <v>479</v>
      </c>
      <c r="C433" s="23" t="s">
        <v>0</v>
      </c>
      <c r="D433" s="43">
        <v>6.63</v>
      </c>
      <c r="E433" s="13"/>
      <c r="F433" s="43"/>
      <c r="G433" s="30"/>
    </row>
    <row r="434" spans="1:7" s="5" customFormat="1" ht="15">
      <c r="A434" s="29"/>
      <c r="B434" s="54" t="s">
        <v>480</v>
      </c>
      <c r="C434" s="23" t="s">
        <v>0</v>
      </c>
      <c r="D434" s="43">
        <v>5.555</v>
      </c>
      <c r="E434" s="13"/>
      <c r="F434" s="43"/>
      <c r="G434" s="30"/>
    </row>
    <row r="435" spans="1:7" s="5" customFormat="1" ht="15">
      <c r="A435" s="29">
        <v>13.007</v>
      </c>
      <c r="B435" s="52" t="s">
        <v>485</v>
      </c>
      <c r="C435" s="30"/>
      <c r="D435" s="43"/>
      <c r="E435" s="43"/>
      <c r="F435" s="43"/>
      <c r="G435" s="30"/>
    </row>
    <row r="436" spans="1:7" s="5" customFormat="1" ht="15">
      <c r="A436" s="29"/>
      <c r="B436" s="53" t="s">
        <v>479</v>
      </c>
      <c r="C436" s="23" t="s">
        <v>0</v>
      </c>
      <c r="D436" s="43">
        <v>0.932</v>
      </c>
      <c r="E436" s="13"/>
      <c r="F436" s="43"/>
      <c r="G436" s="30"/>
    </row>
    <row r="437" spans="1:7" s="5" customFormat="1" ht="15">
      <c r="A437" s="29"/>
      <c r="B437" s="54" t="s">
        <v>480</v>
      </c>
      <c r="C437" s="23" t="s">
        <v>0</v>
      </c>
      <c r="D437" s="43">
        <v>1.042</v>
      </c>
      <c r="E437" s="13"/>
      <c r="F437" s="43"/>
      <c r="G437" s="30"/>
    </row>
    <row r="438" spans="1:7" s="5" customFormat="1" ht="15">
      <c r="A438" s="29"/>
      <c r="B438" s="54" t="s">
        <v>486</v>
      </c>
      <c r="C438" s="23" t="s">
        <v>0</v>
      </c>
      <c r="D438" s="43">
        <v>0.174</v>
      </c>
      <c r="E438" s="13"/>
      <c r="F438" s="43"/>
      <c r="G438" s="30"/>
    </row>
    <row r="439" spans="1:7" s="5" customFormat="1" ht="15">
      <c r="A439" s="29">
        <v>13.008</v>
      </c>
      <c r="B439" s="52" t="s">
        <v>487</v>
      </c>
      <c r="C439" s="30"/>
      <c r="D439" s="43"/>
      <c r="E439" s="43"/>
      <c r="F439" s="43"/>
      <c r="G439" s="30"/>
    </row>
    <row r="440" spans="1:7" s="5" customFormat="1" ht="15">
      <c r="A440" s="29"/>
      <c r="B440" s="53" t="s">
        <v>479</v>
      </c>
      <c r="C440" s="23" t="s">
        <v>0</v>
      </c>
      <c r="D440" s="43">
        <v>0.829</v>
      </c>
      <c r="E440" s="13"/>
      <c r="F440" s="43"/>
      <c r="G440" s="30"/>
    </row>
    <row r="441" spans="1:7" s="5" customFormat="1" ht="15">
      <c r="A441" s="29"/>
      <c r="B441" s="54" t="s">
        <v>480</v>
      </c>
      <c r="C441" s="23" t="s">
        <v>0</v>
      </c>
      <c r="D441" s="43">
        <v>0.694</v>
      </c>
      <c r="E441" s="13"/>
      <c r="F441" s="43"/>
      <c r="G441" s="30"/>
    </row>
    <row r="442" spans="1:7" s="5" customFormat="1" ht="15">
      <c r="A442" s="29">
        <v>13.009</v>
      </c>
      <c r="B442" s="52" t="s">
        <v>490</v>
      </c>
      <c r="C442" s="30"/>
      <c r="D442" s="43"/>
      <c r="E442" s="43"/>
      <c r="F442" s="43"/>
      <c r="G442" s="30"/>
    </row>
    <row r="443" spans="1:7" s="5" customFormat="1" ht="15">
      <c r="A443" s="29"/>
      <c r="B443" s="53" t="s">
        <v>479</v>
      </c>
      <c r="C443" s="23" t="s">
        <v>0</v>
      </c>
      <c r="D443" s="43">
        <v>15.333</v>
      </c>
      <c r="E443" s="13"/>
      <c r="F443" s="43"/>
      <c r="G443" s="30"/>
    </row>
    <row r="444" spans="1:7" s="5" customFormat="1" ht="15">
      <c r="A444" s="29"/>
      <c r="B444" s="54" t="s">
        <v>480</v>
      </c>
      <c r="C444" s="23" t="s">
        <v>0</v>
      </c>
      <c r="D444" s="43">
        <v>12.846</v>
      </c>
      <c r="E444" s="13"/>
      <c r="F444" s="43"/>
      <c r="G444" s="30"/>
    </row>
    <row r="445" spans="1:7" s="5" customFormat="1" ht="15">
      <c r="A445" s="29">
        <v>13.01</v>
      </c>
      <c r="B445" s="52" t="s">
        <v>491</v>
      </c>
      <c r="C445" s="30"/>
      <c r="D445" s="43"/>
      <c r="E445" s="43"/>
      <c r="F445" s="43"/>
      <c r="G445" s="30"/>
    </row>
    <row r="446" spans="1:7" s="5" customFormat="1" ht="15">
      <c r="A446" s="29"/>
      <c r="B446" s="53" t="s">
        <v>479</v>
      </c>
      <c r="C446" s="23" t="s">
        <v>0</v>
      </c>
      <c r="D446" s="43">
        <v>1.709</v>
      </c>
      <c r="E446" s="13"/>
      <c r="F446" s="43"/>
      <c r="G446" s="30"/>
    </row>
    <row r="447" spans="1:7" s="5" customFormat="1" ht="15">
      <c r="A447" s="29"/>
      <c r="B447" s="54" t="s">
        <v>480</v>
      </c>
      <c r="C447" s="23" t="s">
        <v>0</v>
      </c>
      <c r="D447" s="43">
        <v>1.432</v>
      </c>
      <c r="E447" s="13"/>
      <c r="F447" s="43"/>
      <c r="G447" s="30"/>
    </row>
    <row r="448" spans="1:7" s="5" customFormat="1" ht="15">
      <c r="A448" s="29">
        <v>13.011</v>
      </c>
      <c r="B448" s="52" t="s">
        <v>492</v>
      </c>
      <c r="C448" s="30"/>
      <c r="D448" s="43"/>
      <c r="E448" s="43"/>
      <c r="F448" s="43"/>
      <c r="G448" s="30"/>
    </row>
    <row r="449" spans="1:7" s="5" customFormat="1" ht="15">
      <c r="A449" s="29"/>
      <c r="B449" s="53" t="s">
        <v>479</v>
      </c>
      <c r="C449" s="23" t="s">
        <v>0</v>
      </c>
      <c r="D449" s="43">
        <v>7.666</v>
      </c>
      <c r="E449" s="13"/>
      <c r="F449" s="43"/>
      <c r="G449" s="30"/>
    </row>
    <row r="450" spans="1:7" s="5" customFormat="1" ht="15">
      <c r="A450" s="29"/>
      <c r="B450" s="54" t="s">
        <v>480</v>
      </c>
      <c r="C450" s="23" t="s">
        <v>0</v>
      </c>
      <c r="D450" s="43">
        <v>6.423</v>
      </c>
      <c r="E450" s="13"/>
      <c r="F450" s="43"/>
      <c r="G450" s="30"/>
    </row>
    <row r="451" spans="1:7" s="5" customFormat="1" ht="15">
      <c r="A451" s="29">
        <v>13.012</v>
      </c>
      <c r="B451" s="52" t="s">
        <v>493</v>
      </c>
      <c r="C451" s="30"/>
      <c r="D451" s="43"/>
      <c r="E451" s="43"/>
      <c r="F451" s="43"/>
      <c r="G451" s="30"/>
    </row>
    <row r="452" spans="1:7" s="5" customFormat="1" ht="15">
      <c r="A452" s="29"/>
      <c r="B452" s="53" t="s">
        <v>479</v>
      </c>
      <c r="C452" s="23" t="s">
        <v>0</v>
      </c>
      <c r="D452" s="43">
        <v>7.252</v>
      </c>
      <c r="E452" s="13"/>
      <c r="F452" s="43"/>
      <c r="G452" s="30"/>
    </row>
    <row r="453" spans="1:7" s="5" customFormat="1" ht="15">
      <c r="A453" s="29"/>
      <c r="B453" s="54" t="s">
        <v>480</v>
      </c>
      <c r="C453" s="23" t="s">
        <v>0</v>
      </c>
      <c r="D453" s="43">
        <v>6.076</v>
      </c>
      <c r="E453" s="13"/>
      <c r="F453" s="43"/>
      <c r="G453" s="30"/>
    </row>
    <row r="454" spans="1:7" s="5" customFormat="1" ht="15">
      <c r="A454" s="29">
        <v>13.013</v>
      </c>
      <c r="B454" s="52" t="s">
        <v>494</v>
      </c>
      <c r="C454" s="30"/>
      <c r="D454" s="43"/>
      <c r="E454" s="43"/>
      <c r="F454" s="43"/>
      <c r="G454" s="30"/>
    </row>
    <row r="455" spans="1:7" s="5" customFormat="1" ht="15">
      <c r="A455" s="29"/>
      <c r="B455" s="53" t="s">
        <v>479</v>
      </c>
      <c r="C455" s="23" t="s">
        <v>0</v>
      </c>
      <c r="D455" s="43">
        <v>2.563</v>
      </c>
      <c r="E455" s="13"/>
      <c r="F455" s="43"/>
      <c r="G455" s="30"/>
    </row>
    <row r="456" spans="1:7" s="5" customFormat="1" ht="15">
      <c r="A456" s="29"/>
      <c r="B456" s="54" t="s">
        <v>480</v>
      </c>
      <c r="C456" s="23" t="s">
        <v>0</v>
      </c>
      <c r="D456" s="43">
        <v>2.179</v>
      </c>
      <c r="E456" s="13"/>
      <c r="F456" s="43"/>
      <c r="G456" s="30"/>
    </row>
    <row r="457" spans="1:7" s="5" customFormat="1" ht="15">
      <c r="A457" s="29"/>
      <c r="B457" s="54" t="s">
        <v>481</v>
      </c>
      <c r="C457" s="23" t="s">
        <v>0</v>
      </c>
      <c r="D457" s="43">
        <v>0.726</v>
      </c>
      <c r="E457" s="13"/>
      <c r="F457" s="43"/>
      <c r="G457" s="30"/>
    </row>
    <row r="458" spans="1:7" s="5" customFormat="1" ht="15">
      <c r="A458" s="29">
        <v>13.014</v>
      </c>
      <c r="B458" s="52" t="s">
        <v>495</v>
      </c>
      <c r="C458" s="30"/>
      <c r="D458" s="43"/>
      <c r="E458" s="43"/>
      <c r="F458" s="43"/>
      <c r="G458" s="30"/>
    </row>
    <row r="459" spans="1:7" s="5" customFormat="1" ht="15">
      <c r="A459" s="29"/>
      <c r="B459" s="53" t="s">
        <v>479</v>
      </c>
      <c r="C459" s="23" t="s">
        <v>0</v>
      </c>
      <c r="D459" s="43">
        <v>3.364</v>
      </c>
      <c r="E459" s="13"/>
      <c r="F459" s="43"/>
      <c r="G459" s="30"/>
    </row>
    <row r="460" spans="1:7" s="5" customFormat="1" ht="15">
      <c r="A460" s="29"/>
      <c r="B460" s="54" t="s">
        <v>480</v>
      </c>
      <c r="C460" s="23" t="s">
        <v>0</v>
      </c>
      <c r="D460" s="43">
        <v>2.86</v>
      </c>
      <c r="E460" s="13"/>
      <c r="F460" s="43"/>
      <c r="G460" s="30"/>
    </row>
    <row r="461" spans="1:7" s="5" customFormat="1" ht="15">
      <c r="A461" s="29"/>
      <c r="B461" s="54" t="s">
        <v>481</v>
      </c>
      <c r="C461" s="23" t="s">
        <v>0</v>
      </c>
      <c r="D461" s="43">
        <v>0.953</v>
      </c>
      <c r="E461" s="13"/>
      <c r="F461" s="43"/>
      <c r="G461" s="30"/>
    </row>
    <row r="462" spans="1:7" s="5" customFormat="1" ht="15">
      <c r="A462" s="29">
        <v>13.015</v>
      </c>
      <c r="B462" s="52" t="s">
        <v>496</v>
      </c>
      <c r="C462" s="30"/>
      <c r="D462" s="43"/>
      <c r="E462" s="43"/>
      <c r="F462" s="43"/>
      <c r="G462" s="30"/>
    </row>
    <row r="463" spans="1:7" s="5" customFormat="1" ht="15">
      <c r="A463" s="29"/>
      <c r="B463" s="57" t="s">
        <v>525</v>
      </c>
      <c r="C463" s="30"/>
      <c r="D463" s="43"/>
      <c r="E463" s="43"/>
      <c r="F463" s="43"/>
      <c r="G463" s="30"/>
    </row>
    <row r="464" spans="1:7" s="5" customFormat="1" ht="15">
      <c r="A464" s="29"/>
      <c r="B464" s="54" t="s">
        <v>497</v>
      </c>
      <c r="C464" s="23" t="s">
        <v>0</v>
      </c>
      <c r="D464" s="43">
        <v>7.416</v>
      </c>
      <c r="E464" s="13"/>
      <c r="F464" s="43"/>
      <c r="G464" s="30"/>
    </row>
    <row r="465" spans="1:7" s="5" customFormat="1" ht="15">
      <c r="A465" s="30"/>
      <c r="B465" s="54" t="s">
        <v>571</v>
      </c>
      <c r="C465" s="23" t="s">
        <v>0</v>
      </c>
      <c r="D465" s="43">
        <v>2.376</v>
      </c>
      <c r="E465" s="13"/>
      <c r="F465" s="43"/>
      <c r="G465" s="30"/>
    </row>
    <row r="466" spans="1:7" s="5" customFormat="1" ht="15">
      <c r="A466" s="30"/>
      <c r="B466" s="54" t="s">
        <v>498</v>
      </c>
      <c r="C466" s="23" t="s">
        <v>0</v>
      </c>
      <c r="D466" s="43">
        <v>0.774</v>
      </c>
      <c r="E466" s="13"/>
      <c r="F466" s="43"/>
      <c r="G466" s="30"/>
    </row>
    <row r="467" spans="1:7" s="5" customFormat="1" ht="15">
      <c r="A467" s="30"/>
      <c r="B467" s="56" t="s">
        <v>526</v>
      </c>
      <c r="C467" s="30"/>
      <c r="D467" s="43"/>
      <c r="E467" s="13"/>
      <c r="F467" s="43"/>
      <c r="G467" s="30"/>
    </row>
    <row r="468" spans="1:7" s="5" customFormat="1" ht="15">
      <c r="A468" s="30"/>
      <c r="B468" s="54" t="s">
        <v>497</v>
      </c>
      <c r="C468" s="23" t="s">
        <v>0</v>
      </c>
      <c r="D468" s="43">
        <v>7.416</v>
      </c>
      <c r="E468" s="13"/>
      <c r="F468" s="43"/>
      <c r="G468" s="30"/>
    </row>
    <row r="469" spans="1:7" s="5" customFormat="1" ht="15">
      <c r="A469" s="30"/>
      <c r="B469" s="54" t="s">
        <v>499</v>
      </c>
      <c r="C469" s="23" t="s">
        <v>0</v>
      </c>
      <c r="D469" s="43">
        <v>2.376</v>
      </c>
      <c r="E469" s="13"/>
      <c r="F469" s="43"/>
      <c r="G469" s="30"/>
    </row>
    <row r="470" spans="1:7" s="5" customFormat="1" ht="15">
      <c r="A470" s="30"/>
      <c r="B470" s="54" t="s">
        <v>500</v>
      </c>
      <c r="C470" s="23" t="s">
        <v>0</v>
      </c>
      <c r="D470" s="43">
        <v>0.774</v>
      </c>
      <c r="E470" s="13"/>
      <c r="F470" s="43"/>
      <c r="G470" s="30"/>
    </row>
    <row r="471" spans="1:7" s="5" customFormat="1" ht="15">
      <c r="A471" s="30"/>
      <c r="B471" s="56" t="s">
        <v>527</v>
      </c>
      <c r="C471" s="30"/>
      <c r="D471" s="43"/>
      <c r="E471" s="13"/>
      <c r="F471" s="43"/>
      <c r="G471" s="30"/>
    </row>
    <row r="472" spans="1:7" s="5" customFormat="1" ht="15">
      <c r="A472" s="30"/>
      <c r="B472" s="54" t="s">
        <v>501</v>
      </c>
      <c r="C472" s="23" t="s">
        <v>0</v>
      </c>
      <c r="D472" s="43">
        <v>7.416</v>
      </c>
      <c r="E472" s="13"/>
      <c r="F472" s="43"/>
      <c r="G472" s="30"/>
    </row>
    <row r="473" spans="1:7" s="5" customFormat="1" ht="15">
      <c r="A473" s="30"/>
      <c r="B473" s="54" t="s">
        <v>502</v>
      </c>
      <c r="C473" s="23" t="s">
        <v>0</v>
      </c>
      <c r="D473" s="43">
        <v>1.782</v>
      </c>
      <c r="E473" s="13"/>
      <c r="F473" s="43"/>
      <c r="G473" s="30"/>
    </row>
    <row r="474" spans="1:7" s="5" customFormat="1" ht="15">
      <c r="A474" s="30"/>
      <c r="B474" s="54" t="s">
        <v>503</v>
      </c>
      <c r="C474" s="23" t="s">
        <v>0</v>
      </c>
      <c r="D474" s="43">
        <v>1.62</v>
      </c>
      <c r="E474" s="13"/>
      <c r="F474" s="43"/>
      <c r="G474" s="30"/>
    </row>
    <row r="475" spans="1:7" s="5" customFormat="1" ht="15">
      <c r="A475" s="30"/>
      <c r="B475" s="56" t="s">
        <v>528</v>
      </c>
      <c r="C475" s="30"/>
      <c r="D475" s="43"/>
      <c r="E475" s="13"/>
      <c r="F475" s="43"/>
      <c r="G475" s="30"/>
    </row>
    <row r="476" spans="1:7" s="5" customFormat="1" ht="15">
      <c r="A476" s="30"/>
      <c r="B476" s="54" t="s">
        <v>501</v>
      </c>
      <c r="C476" s="23" t="s">
        <v>0</v>
      </c>
      <c r="D476" s="43">
        <v>7.416</v>
      </c>
      <c r="E476" s="13"/>
      <c r="F476" s="43"/>
      <c r="G476" s="30"/>
    </row>
    <row r="477" spans="1:7" s="5" customFormat="1" ht="15">
      <c r="A477" s="30"/>
      <c r="B477" s="54" t="s">
        <v>504</v>
      </c>
      <c r="C477" s="23" t="s">
        <v>0</v>
      </c>
      <c r="D477" s="43">
        <v>1.782</v>
      </c>
      <c r="E477" s="13"/>
      <c r="F477" s="43"/>
      <c r="G477" s="30"/>
    </row>
    <row r="478" spans="1:7" s="5" customFormat="1" ht="15">
      <c r="A478" s="30"/>
      <c r="B478" s="54" t="s">
        <v>503</v>
      </c>
      <c r="C478" s="23" t="s">
        <v>0</v>
      </c>
      <c r="D478" s="43">
        <v>1.62</v>
      </c>
      <c r="E478" s="13"/>
      <c r="F478" s="43"/>
      <c r="G478" s="30"/>
    </row>
    <row r="479" spans="1:7" s="5" customFormat="1" ht="15">
      <c r="A479" s="30"/>
      <c r="B479" s="56" t="s">
        <v>523</v>
      </c>
      <c r="C479" s="30"/>
      <c r="D479" s="43"/>
      <c r="E479" s="13"/>
      <c r="F479" s="43"/>
      <c r="G479" s="30"/>
    </row>
    <row r="480" spans="1:7" s="5" customFormat="1" ht="15">
      <c r="A480" s="30"/>
      <c r="B480" s="54" t="s">
        <v>478</v>
      </c>
      <c r="C480" s="23" t="s">
        <v>0</v>
      </c>
      <c r="D480" s="43">
        <v>1.08</v>
      </c>
      <c r="E480" s="13"/>
      <c r="F480" s="43"/>
      <c r="G480" s="30"/>
    </row>
    <row r="481" spans="1:7" s="5" customFormat="1" ht="15">
      <c r="A481" s="30"/>
      <c r="B481" s="54" t="s">
        <v>505</v>
      </c>
      <c r="C481" s="23" t="s">
        <v>0</v>
      </c>
      <c r="D481" s="43">
        <v>1.032</v>
      </c>
      <c r="E481" s="13"/>
      <c r="F481" s="43"/>
      <c r="G481" s="30"/>
    </row>
    <row r="482" spans="1:7" s="5" customFormat="1" ht="15">
      <c r="A482" s="30"/>
      <c r="B482" s="56" t="s">
        <v>524</v>
      </c>
      <c r="C482" s="30"/>
      <c r="D482" s="43"/>
      <c r="E482" s="13"/>
      <c r="F482" s="43"/>
      <c r="G482" s="30"/>
    </row>
    <row r="483" spans="1:7" s="5" customFormat="1" ht="15">
      <c r="A483" s="30"/>
      <c r="B483" s="54" t="s">
        <v>478</v>
      </c>
      <c r="C483" s="23" t="s">
        <v>0</v>
      </c>
      <c r="D483" s="43">
        <v>1.08</v>
      </c>
      <c r="E483" s="13"/>
      <c r="F483" s="43"/>
      <c r="G483" s="30"/>
    </row>
    <row r="484" spans="1:7" s="5" customFormat="1" ht="15">
      <c r="A484" s="30"/>
      <c r="B484" s="54" t="s">
        <v>505</v>
      </c>
      <c r="C484" s="23" t="s">
        <v>0</v>
      </c>
      <c r="D484" s="43">
        <v>1.032</v>
      </c>
      <c r="E484" s="13"/>
      <c r="F484" s="43"/>
      <c r="G484" s="30"/>
    </row>
    <row r="485" spans="1:7" s="5" customFormat="1" ht="15">
      <c r="A485" s="30"/>
      <c r="B485" s="56" t="s">
        <v>529</v>
      </c>
      <c r="C485" s="30"/>
      <c r="D485" s="43"/>
      <c r="E485" s="13"/>
      <c r="F485" s="43"/>
      <c r="G485" s="30"/>
    </row>
    <row r="486" spans="1:7" s="5" customFormat="1" ht="15">
      <c r="A486" s="30"/>
      <c r="B486" s="54" t="s">
        <v>506</v>
      </c>
      <c r="C486" s="23" t="s">
        <v>0</v>
      </c>
      <c r="D486" s="43">
        <v>2.16</v>
      </c>
      <c r="E486" s="13"/>
      <c r="F486" s="43"/>
      <c r="G486" s="30"/>
    </row>
    <row r="487" spans="1:7" s="5" customFormat="1" ht="15">
      <c r="A487" s="30"/>
      <c r="B487" s="54" t="s">
        <v>507</v>
      </c>
      <c r="C487" s="23" t="s">
        <v>0</v>
      </c>
      <c r="D487" s="43">
        <v>1.956</v>
      </c>
      <c r="E487" s="13"/>
      <c r="F487" s="43"/>
      <c r="G487" s="30"/>
    </row>
    <row r="488" spans="1:7" s="5" customFormat="1" ht="15">
      <c r="A488" s="30"/>
      <c r="B488" s="56" t="s">
        <v>530</v>
      </c>
      <c r="C488" s="30"/>
      <c r="D488" s="43"/>
      <c r="E488" s="13"/>
      <c r="F488" s="43"/>
      <c r="G488" s="30"/>
    </row>
    <row r="489" spans="1:7" s="5" customFormat="1" ht="15">
      <c r="A489" s="30"/>
      <c r="B489" s="54" t="s">
        <v>506</v>
      </c>
      <c r="C489" s="23" t="s">
        <v>0</v>
      </c>
      <c r="D489" s="43">
        <v>2.16</v>
      </c>
      <c r="E489" s="13"/>
      <c r="F489" s="43"/>
      <c r="G489" s="30"/>
    </row>
    <row r="490" spans="1:7" s="5" customFormat="1" ht="15">
      <c r="A490" s="30"/>
      <c r="B490" s="54" t="s">
        <v>507</v>
      </c>
      <c r="C490" s="23" t="s">
        <v>0</v>
      </c>
      <c r="D490" s="43">
        <v>1.956</v>
      </c>
      <c r="E490" s="13"/>
      <c r="F490" s="43"/>
      <c r="G490" s="30"/>
    </row>
    <row r="491" spans="1:7" s="5" customFormat="1" ht="15">
      <c r="A491" s="30"/>
      <c r="B491" s="56" t="s">
        <v>531</v>
      </c>
      <c r="C491" s="30"/>
      <c r="D491" s="43"/>
      <c r="E491" s="13"/>
      <c r="F491" s="43"/>
      <c r="G491" s="30"/>
    </row>
    <row r="492" spans="1:7" s="5" customFormat="1" ht="15">
      <c r="A492" s="30"/>
      <c r="B492" s="54" t="s">
        <v>508</v>
      </c>
      <c r="C492" s="23" t="s">
        <v>0</v>
      </c>
      <c r="D492" s="43">
        <v>1.08</v>
      </c>
      <c r="E492" s="13"/>
      <c r="F492" s="43"/>
      <c r="G492" s="30"/>
    </row>
    <row r="493" spans="1:7" s="5" customFormat="1" ht="15">
      <c r="A493" s="30"/>
      <c r="B493" s="54" t="s">
        <v>507</v>
      </c>
      <c r="C493" s="23" t="s">
        <v>0</v>
      </c>
      <c r="D493" s="43">
        <v>0.516</v>
      </c>
      <c r="E493" s="13"/>
      <c r="F493" s="43"/>
      <c r="G493" s="30"/>
    </row>
    <row r="494" spans="1:7" s="5" customFormat="1" ht="15">
      <c r="A494" s="29">
        <v>13.016</v>
      </c>
      <c r="B494" s="52" t="s">
        <v>509</v>
      </c>
      <c r="C494" s="30"/>
      <c r="D494" s="43"/>
      <c r="E494" s="13"/>
      <c r="F494" s="43"/>
      <c r="G494" s="30"/>
    </row>
    <row r="495" spans="1:7" s="5" customFormat="1" ht="15">
      <c r="A495" s="30"/>
      <c r="B495" s="57" t="s">
        <v>525</v>
      </c>
      <c r="C495" s="30"/>
      <c r="D495" s="43"/>
      <c r="E495" s="43"/>
      <c r="F495" s="43"/>
      <c r="G495" s="30"/>
    </row>
    <row r="496" spans="1:7" s="5" customFormat="1" ht="15">
      <c r="A496" s="30"/>
      <c r="B496" s="54" t="s">
        <v>478</v>
      </c>
      <c r="C496" s="23" t="s">
        <v>0</v>
      </c>
      <c r="D496" s="43">
        <v>1.125</v>
      </c>
      <c r="E496" s="13"/>
      <c r="F496" s="43"/>
      <c r="G496" s="30"/>
    </row>
    <row r="497" spans="1:7" s="5" customFormat="1" ht="15">
      <c r="A497" s="30"/>
      <c r="B497" s="54" t="s">
        <v>510</v>
      </c>
      <c r="C497" s="23" t="s">
        <v>0</v>
      </c>
      <c r="D497" s="43">
        <v>2.43</v>
      </c>
      <c r="E497" s="13"/>
      <c r="F497" s="43"/>
      <c r="G497" s="30"/>
    </row>
    <row r="498" spans="1:7" s="5" customFormat="1" ht="15">
      <c r="A498" s="30"/>
      <c r="B498" s="54" t="s">
        <v>511</v>
      </c>
      <c r="C498" s="23" t="s">
        <v>0</v>
      </c>
      <c r="D498" s="43">
        <v>4.77</v>
      </c>
      <c r="E498" s="13"/>
      <c r="F498" s="43"/>
      <c r="G498" s="30"/>
    </row>
    <row r="499" spans="1:7" s="5" customFormat="1" ht="15">
      <c r="A499" s="30"/>
      <c r="B499" s="54" t="s">
        <v>512</v>
      </c>
      <c r="C499" s="23" t="s">
        <v>0</v>
      </c>
      <c r="D499" s="43">
        <v>2.16</v>
      </c>
      <c r="E499" s="13"/>
      <c r="F499" s="43"/>
      <c r="G499" s="30"/>
    </row>
    <row r="500" spans="1:7" s="5" customFormat="1" ht="15">
      <c r="A500" s="30"/>
      <c r="B500" s="54" t="s">
        <v>513</v>
      </c>
      <c r="C500" s="23" t="s">
        <v>0</v>
      </c>
      <c r="D500" s="43">
        <v>1.35</v>
      </c>
      <c r="E500" s="13"/>
      <c r="F500" s="43"/>
      <c r="G500" s="30"/>
    </row>
    <row r="501" spans="1:7" s="5" customFormat="1" ht="15">
      <c r="A501" s="30"/>
      <c r="B501" s="56" t="s">
        <v>526</v>
      </c>
      <c r="C501" s="30"/>
      <c r="D501" s="43"/>
      <c r="E501" s="13"/>
      <c r="F501" s="43"/>
      <c r="G501" s="30"/>
    </row>
    <row r="502" spans="1:7" s="5" customFormat="1" ht="15">
      <c r="A502" s="30"/>
      <c r="B502" s="54" t="s">
        <v>478</v>
      </c>
      <c r="C502" s="23" t="s">
        <v>0</v>
      </c>
      <c r="D502" s="43">
        <v>1.125</v>
      </c>
      <c r="E502" s="13"/>
      <c r="F502" s="43"/>
      <c r="G502" s="30"/>
    </row>
    <row r="503" spans="1:7" s="5" customFormat="1" ht="15">
      <c r="A503" s="30"/>
      <c r="B503" s="56" t="s">
        <v>527</v>
      </c>
      <c r="C503" s="30"/>
      <c r="D503" s="43"/>
      <c r="E503" s="13"/>
      <c r="F503" s="43"/>
      <c r="G503" s="30"/>
    </row>
    <row r="504" spans="1:7" s="5" customFormat="1" ht="15">
      <c r="A504" s="30"/>
      <c r="B504" s="54" t="s">
        <v>514</v>
      </c>
      <c r="C504" s="23" t="s">
        <v>0</v>
      </c>
      <c r="D504" s="43">
        <v>2.46</v>
      </c>
      <c r="E504" s="13"/>
      <c r="F504" s="43"/>
      <c r="G504" s="30"/>
    </row>
    <row r="505" spans="1:7" s="5" customFormat="1" ht="15">
      <c r="A505" s="30"/>
      <c r="B505" s="54" t="s">
        <v>510</v>
      </c>
      <c r="C505" s="23" t="s">
        <v>0</v>
      </c>
      <c r="D505" s="43">
        <v>2.49</v>
      </c>
      <c r="E505" s="13"/>
      <c r="F505" s="43"/>
      <c r="G505" s="30"/>
    </row>
    <row r="506" spans="1:7" s="5" customFormat="1" ht="15">
      <c r="A506" s="30"/>
      <c r="B506" s="54" t="s">
        <v>515</v>
      </c>
      <c r="C506" s="23" t="s">
        <v>0</v>
      </c>
      <c r="D506" s="43">
        <v>4.77</v>
      </c>
      <c r="E506" s="13"/>
      <c r="F506" s="43"/>
      <c r="G506" s="30"/>
    </row>
    <row r="507" spans="1:7" s="5" customFormat="1" ht="15">
      <c r="A507" s="30"/>
      <c r="B507" s="54" t="s">
        <v>516</v>
      </c>
      <c r="C507" s="23" t="s">
        <v>0</v>
      </c>
      <c r="D507" s="43">
        <v>2.7</v>
      </c>
      <c r="E507" s="13"/>
      <c r="F507" s="43"/>
      <c r="G507" s="30"/>
    </row>
    <row r="508" spans="1:7" s="5" customFormat="1" ht="15">
      <c r="A508" s="30"/>
      <c r="B508" s="54" t="s">
        <v>517</v>
      </c>
      <c r="C508" s="23" t="s">
        <v>0</v>
      </c>
      <c r="D508" s="43">
        <v>1.08</v>
      </c>
      <c r="E508" s="13"/>
      <c r="F508" s="43"/>
      <c r="G508" s="30"/>
    </row>
    <row r="509" spans="1:7" s="5" customFormat="1" ht="15">
      <c r="A509" s="30"/>
      <c r="B509" s="56" t="s">
        <v>528</v>
      </c>
      <c r="C509" s="30"/>
      <c r="D509" s="43"/>
      <c r="E509" s="13"/>
      <c r="F509" s="43"/>
      <c r="G509" s="30"/>
    </row>
    <row r="510" spans="1:7" s="5" customFormat="1" ht="15">
      <c r="A510" s="30"/>
      <c r="B510" s="54" t="s">
        <v>434</v>
      </c>
      <c r="C510" s="23" t="s">
        <v>0</v>
      </c>
      <c r="D510" s="43">
        <v>1.215</v>
      </c>
      <c r="E510" s="13"/>
      <c r="F510" s="43"/>
      <c r="G510" s="30"/>
    </row>
    <row r="511" spans="1:7" s="5" customFormat="1" ht="15">
      <c r="A511" s="30"/>
      <c r="B511" s="56" t="s">
        <v>532</v>
      </c>
      <c r="C511" s="23"/>
      <c r="D511" s="43"/>
      <c r="E511" s="13"/>
      <c r="F511" s="43"/>
      <c r="G511" s="30"/>
    </row>
    <row r="512" spans="1:7" s="5" customFormat="1" ht="15">
      <c r="A512" s="30"/>
      <c r="B512" s="54" t="s">
        <v>478</v>
      </c>
      <c r="C512" s="23" t="s">
        <v>0</v>
      </c>
      <c r="D512" s="43">
        <v>4.83</v>
      </c>
      <c r="E512" s="13"/>
      <c r="F512" s="43"/>
      <c r="G512" s="30"/>
    </row>
    <row r="513" spans="1:7" s="5" customFormat="1" ht="15">
      <c r="A513" s="30"/>
      <c r="B513" s="54" t="s">
        <v>505</v>
      </c>
      <c r="C513" s="23" t="s">
        <v>0</v>
      </c>
      <c r="D513" s="43">
        <v>2.43</v>
      </c>
      <c r="E513" s="13"/>
      <c r="F513" s="43"/>
      <c r="G513" s="30"/>
    </row>
    <row r="514" spans="1:7" s="5" customFormat="1" ht="15">
      <c r="A514" s="30"/>
      <c r="B514" s="54" t="s">
        <v>433</v>
      </c>
      <c r="C514" s="23" t="s">
        <v>0</v>
      </c>
      <c r="D514" s="43">
        <v>1.14</v>
      </c>
      <c r="E514" s="13"/>
      <c r="F514" s="43"/>
      <c r="G514" s="30"/>
    </row>
    <row r="515" spans="1:7" s="5" customFormat="1" ht="15">
      <c r="A515" s="30"/>
      <c r="B515" s="54" t="s">
        <v>434</v>
      </c>
      <c r="C515" s="23" t="s">
        <v>0</v>
      </c>
      <c r="D515" s="43">
        <v>1.41</v>
      </c>
      <c r="E515" s="13"/>
      <c r="F515" s="43"/>
      <c r="G515" s="30"/>
    </row>
    <row r="516" spans="1:7" s="5" customFormat="1" ht="15">
      <c r="A516" s="30"/>
      <c r="B516" s="56" t="s">
        <v>533</v>
      </c>
      <c r="C516" s="23"/>
      <c r="D516" s="43"/>
      <c r="E516" s="13"/>
      <c r="F516" s="43"/>
      <c r="G516" s="30"/>
    </row>
    <row r="517" spans="1:7" s="5" customFormat="1" ht="15">
      <c r="A517" s="30"/>
      <c r="B517" s="54" t="s">
        <v>478</v>
      </c>
      <c r="C517" s="23" t="s">
        <v>0</v>
      </c>
      <c r="D517" s="43">
        <v>4.83</v>
      </c>
      <c r="E517" s="13"/>
      <c r="F517" s="43"/>
      <c r="G517" s="30"/>
    </row>
    <row r="518" spans="1:7" s="5" customFormat="1" ht="15">
      <c r="A518" s="30"/>
      <c r="B518" s="54" t="s">
        <v>505</v>
      </c>
      <c r="C518" s="23" t="s">
        <v>0</v>
      </c>
      <c r="D518" s="43">
        <v>2.43</v>
      </c>
      <c r="E518" s="13"/>
      <c r="F518" s="43"/>
      <c r="G518" s="30"/>
    </row>
    <row r="519" spans="1:7" s="5" customFormat="1" ht="15">
      <c r="A519" s="30"/>
      <c r="B519" s="54" t="s">
        <v>433</v>
      </c>
      <c r="C519" s="23" t="s">
        <v>0</v>
      </c>
      <c r="D519" s="43">
        <v>1.14</v>
      </c>
      <c r="E519" s="13"/>
      <c r="F519" s="43"/>
      <c r="G519" s="30"/>
    </row>
    <row r="520" spans="1:7" s="5" customFormat="1" ht="15">
      <c r="A520" s="30"/>
      <c r="B520" s="54" t="s">
        <v>434</v>
      </c>
      <c r="C520" s="23" t="s">
        <v>0</v>
      </c>
      <c r="D520" s="43">
        <v>1.41</v>
      </c>
      <c r="E520" s="13"/>
      <c r="F520" s="43"/>
      <c r="G520" s="30"/>
    </row>
    <row r="521" spans="1:7" s="5" customFormat="1" ht="15">
      <c r="A521" s="29">
        <v>13.017</v>
      </c>
      <c r="B521" s="52" t="s">
        <v>518</v>
      </c>
      <c r="C521" s="23"/>
      <c r="D521" s="43"/>
      <c r="E521" s="13"/>
      <c r="F521" s="43"/>
      <c r="G521" s="30"/>
    </row>
    <row r="522" spans="1:7" s="5" customFormat="1" ht="15">
      <c r="A522" s="30"/>
      <c r="B522" s="57" t="s">
        <v>523</v>
      </c>
      <c r="C522" s="30"/>
      <c r="D522" s="43"/>
      <c r="E522" s="43"/>
      <c r="F522" s="43"/>
      <c r="G522" s="30"/>
    </row>
    <row r="523" spans="1:7" s="5" customFormat="1" ht="15">
      <c r="A523" s="30"/>
      <c r="B523" s="54" t="s">
        <v>478</v>
      </c>
      <c r="C523" s="23" t="s">
        <v>0</v>
      </c>
      <c r="D523" s="43">
        <v>0.72</v>
      </c>
      <c r="E523" s="13"/>
      <c r="F523" s="43"/>
      <c r="G523" s="30"/>
    </row>
    <row r="524" spans="1:7" s="5" customFormat="1" ht="15">
      <c r="A524" s="30"/>
      <c r="B524" s="54" t="s">
        <v>433</v>
      </c>
      <c r="C524" s="23" t="s">
        <v>0</v>
      </c>
      <c r="D524" s="43">
        <v>1.68</v>
      </c>
      <c r="E524" s="13"/>
      <c r="F524" s="43"/>
      <c r="G524" s="30"/>
    </row>
    <row r="525" spans="1:7" s="5" customFormat="1" ht="15">
      <c r="A525" s="30"/>
      <c r="B525" s="54" t="s">
        <v>434</v>
      </c>
      <c r="C525" s="23" t="s">
        <v>0</v>
      </c>
      <c r="D525" s="43">
        <v>1.376</v>
      </c>
      <c r="E525" s="13"/>
      <c r="F525" s="43"/>
      <c r="G525" s="30"/>
    </row>
    <row r="526" spans="1:7" s="5" customFormat="1" ht="15">
      <c r="A526" s="30"/>
      <c r="B526" s="56" t="s">
        <v>524</v>
      </c>
      <c r="C526" s="23"/>
      <c r="D526" s="43"/>
      <c r="E526" s="13"/>
      <c r="F526" s="43"/>
      <c r="G526" s="30"/>
    </row>
    <row r="527" spans="1:7" s="5" customFormat="1" ht="15">
      <c r="A527" s="30"/>
      <c r="B527" s="54" t="s">
        <v>478</v>
      </c>
      <c r="C527" s="23" t="s">
        <v>0</v>
      </c>
      <c r="D527" s="43">
        <v>0.72</v>
      </c>
      <c r="E527" s="13"/>
      <c r="F527" s="43"/>
      <c r="G527" s="30"/>
    </row>
    <row r="528" spans="1:7" s="5" customFormat="1" ht="15">
      <c r="A528" s="30"/>
      <c r="B528" s="54" t="s">
        <v>433</v>
      </c>
      <c r="C528" s="23" t="s">
        <v>0</v>
      </c>
      <c r="D528" s="43">
        <v>1.68</v>
      </c>
      <c r="E528" s="13"/>
      <c r="F528" s="43"/>
      <c r="G528" s="30"/>
    </row>
    <row r="529" spans="1:7" s="5" customFormat="1" ht="15">
      <c r="A529" s="30"/>
      <c r="B529" s="54" t="s">
        <v>434</v>
      </c>
      <c r="C529" s="23" t="s">
        <v>0</v>
      </c>
      <c r="D529" s="43">
        <v>0.688</v>
      </c>
      <c r="E529" s="13"/>
      <c r="F529" s="43"/>
      <c r="G529" s="30"/>
    </row>
    <row r="530" spans="1:7" s="5" customFormat="1" ht="15">
      <c r="A530" s="30"/>
      <c r="B530" s="56" t="s">
        <v>521</v>
      </c>
      <c r="C530" s="23"/>
      <c r="D530" s="43"/>
      <c r="E530" s="13"/>
      <c r="F530" s="43"/>
      <c r="G530" s="30"/>
    </row>
    <row r="531" spans="1:7" s="5" customFormat="1" ht="15">
      <c r="A531" s="30"/>
      <c r="B531" s="54" t="s">
        <v>434</v>
      </c>
      <c r="C531" s="23" t="s">
        <v>0</v>
      </c>
      <c r="D531" s="43">
        <v>0.688</v>
      </c>
      <c r="E531" s="13"/>
      <c r="F531" s="43"/>
      <c r="G531" s="30"/>
    </row>
    <row r="532" spans="1:7" s="5" customFormat="1" ht="15">
      <c r="A532" s="30"/>
      <c r="B532" s="54" t="s">
        <v>519</v>
      </c>
      <c r="C532" s="23" t="s">
        <v>0</v>
      </c>
      <c r="D532" s="43">
        <v>0.84</v>
      </c>
      <c r="E532" s="13"/>
      <c r="F532" s="43"/>
      <c r="G532" s="30"/>
    </row>
    <row r="533" spans="1:7" s="5" customFormat="1" ht="15">
      <c r="A533" s="30"/>
      <c r="B533" s="56" t="s">
        <v>522</v>
      </c>
      <c r="C533" s="23"/>
      <c r="D533" s="43"/>
      <c r="E533" s="13"/>
      <c r="F533" s="43"/>
      <c r="G533" s="30"/>
    </row>
    <row r="534" spans="1:7" s="5" customFormat="1" ht="15">
      <c r="A534" s="30"/>
      <c r="B534" s="54" t="s">
        <v>434</v>
      </c>
      <c r="C534" s="23" t="s">
        <v>0</v>
      </c>
      <c r="D534" s="43">
        <v>0.688</v>
      </c>
      <c r="E534" s="13"/>
      <c r="F534" s="43"/>
      <c r="G534" s="30"/>
    </row>
    <row r="535" spans="1:7" s="5" customFormat="1" ht="15">
      <c r="A535" s="30"/>
      <c r="B535" s="54" t="s">
        <v>519</v>
      </c>
      <c r="C535" s="23" t="s">
        <v>0</v>
      </c>
      <c r="D535" s="43">
        <v>0.84</v>
      </c>
      <c r="E535" s="13"/>
      <c r="F535" s="43"/>
      <c r="G535" s="30"/>
    </row>
    <row r="536" spans="1:7" s="5" customFormat="1" ht="15">
      <c r="A536" s="30"/>
      <c r="B536" s="56" t="s">
        <v>520</v>
      </c>
      <c r="C536" s="23"/>
      <c r="D536" s="43"/>
      <c r="E536" s="13"/>
      <c r="F536" s="43"/>
      <c r="G536" s="30"/>
    </row>
    <row r="537" spans="1:7" s="5" customFormat="1" ht="15">
      <c r="A537" s="30"/>
      <c r="B537" s="54" t="s">
        <v>434</v>
      </c>
      <c r="C537" s="23" t="s">
        <v>0</v>
      </c>
      <c r="D537" s="43">
        <v>0.344</v>
      </c>
      <c r="E537" s="13"/>
      <c r="F537" s="43"/>
      <c r="G537" s="30"/>
    </row>
    <row r="538" spans="1:7" s="5" customFormat="1" ht="15">
      <c r="A538" s="30"/>
      <c r="B538" s="54" t="s">
        <v>519</v>
      </c>
      <c r="C538" s="23" t="s">
        <v>0</v>
      </c>
      <c r="D538" s="43">
        <v>0.84</v>
      </c>
      <c r="E538" s="13"/>
      <c r="F538" s="43"/>
      <c r="G538" s="30"/>
    </row>
    <row r="539" spans="1:7" s="5" customFormat="1" ht="15">
      <c r="A539" s="29">
        <v>13.018</v>
      </c>
      <c r="B539" s="52" t="s">
        <v>534</v>
      </c>
      <c r="C539" s="30"/>
      <c r="D539" s="43"/>
      <c r="E539" s="43"/>
      <c r="F539" s="43"/>
      <c r="G539" s="30"/>
    </row>
    <row r="540" spans="1:7" s="5" customFormat="1" ht="15">
      <c r="A540" s="30"/>
      <c r="B540" s="57" t="s">
        <v>525</v>
      </c>
      <c r="C540" s="23"/>
      <c r="D540" s="43"/>
      <c r="E540" s="43"/>
      <c r="F540" s="43"/>
      <c r="G540" s="30"/>
    </row>
    <row r="541" spans="1:7" s="5" customFormat="1" ht="15">
      <c r="A541" s="30"/>
      <c r="B541" s="54" t="s">
        <v>280</v>
      </c>
      <c r="C541" s="23" t="s">
        <v>0</v>
      </c>
      <c r="D541" s="43">
        <v>1.52</v>
      </c>
      <c r="E541" s="13"/>
      <c r="F541" s="43"/>
      <c r="G541" s="30"/>
    </row>
    <row r="542" spans="1:7" s="5" customFormat="1" ht="15">
      <c r="A542" s="30"/>
      <c r="B542" s="56" t="s">
        <v>535</v>
      </c>
      <c r="C542" s="23"/>
      <c r="D542" s="43"/>
      <c r="E542" s="13"/>
      <c r="F542" s="43"/>
      <c r="G542" s="30"/>
    </row>
    <row r="543" spans="1:7" s="5" customFormat="1" ht="15">
      <c r="A543" s="30"/>
      <c r="B543" s="54" t="s">
        <v>280</v>
      </c>
      <c r="C543" s="23" t="s">
        <v>0</v>
      </c>
      <c r="D543" s="43">
        <v>1.52</v>
      </c>
      <c r="E543" s="13"/>
      <c r="F543" s="43"/>
      <c r="G543" s="30"/>
    </row>
    <row r="544" spans="1:7" s="5" customFormat="1" ht="15">
      <c r="A544" s="30"/>
      <c r="B544" s="56" t="s">
        <v>532</v>
      </c>
      <c r="C544" s="23"/>
      <c r="D544" s="43"/>
      <c r="E544" s="13"/>
      <c r="F544" s="43"/>
      <c r="G544" s="30"/>
    </row>
    <row r="545" spans="1:7" s="5" customFormat="1" ht="15">
      <c r="A545" s="30"/>
      <c r="B545" s="54" t="s">
        <v>280</v>
      </c>
      <c r="C545" s="23" t="s">
        <v>0</v>
      </c>
      <c r="D545" s="43">
        <v>1.52</v>
      </c>
      <c r="E545" s="13"/>
      <c r="F545" s="43"/>
      <c r="G545" s="30"/>
    </row>
    <row r="546" spans="1:7" s="5" customFormat="1" ht="15">
      <c r="A546" s="30"/>
      <c r="B546" s="56" t="s">
        <v>533</v>
      </c>
      <c r="C546" s="23"/>
      <c r="D546" s="43"/>
      <c r="E546" s="13"/>
      <c r="F546" s="43"/>
      <c r="G546" s="30"/>
    </row>
    <row r="547" spans="1:7" s="5" customFormat="1" ht="15">
      <c r="A547" s="30"/>
      <c r="B547" s="54" t="s">
        <v>280</v>
      </c>
      <c r="C547" s="23" t="s">
        <v>0</v>
      </c>
      <c r="D547" s="43">
        <v>1.52</v>
      </c>
      <c r="E547" s="13"/>
      <c r="F547" s="43"/>
      <c r="G547" s="30"/>
    </row>
    <row r="548" spans="1:7" s="5" customFormat="1" ht="15">
      <c r="A548" s="29">
        <v>13.019</v>
      </c>
      <c r="B548" s="52" t="s">
        <v>536</v>
      </c>
      <c r="C548" s="30"/>
      <c r="D548" s="43"/>
      <c r="E548" s="43"/>
      <c r="F548" s="43"/>
      <c r="G548" s="30"/>
    </row>
    <row r="549" spans="1:7" s="5" customFormat="1" ht="15">
      <c r="A549" s="30"/>
      <c r="B549" s="56" t="s">
        <v>537</v>
      </c>
      <c r="C549" s="30"/>
      <c r="D549" s="43"/>
      <c r="E549" s="43"/>
      <c r="F549" s="43"/>
      <c r="G549" s="30"/>
    </row>
    <row r="550" spans="1:7" s="5" customFormat="1" ht="15">
      <c r="A550" s="30"/>
      <c r="B550" s="58" t="s">
        <v>500</v>
      </c>
      <c r="C550" s="23" t="s">
        <v>0</v>
      </c>
      <c r="D550" s="43">
        <v>3.329</v>
      </c>
      <c r="E550" s="13"/>
      <c r="F550" s="43"/>
      <c r="G550" s="30"/>
    </row>
    <row r="551" spans="1:7" s="5" customFormat="1" ht="15">
      <c r="A551" s="30"/>
      <c r="B551" s="58" t="s">
        <v>538</v>
      </c>
      <c r="C551" s="23" t="s">
        <v>0</v>
      </c>
      <c r="D551" s="43">
        <v>3.922</v>
      </c>
      <c r="E551" s="13"/>
      <c r="F551" s="43"/>
      <c r="G551" s="30"/>
    </row>
    <row r="552" spans="1:7" s="5" customFormat="1" ht="15">
      <c r="A552" s="30"/>
      <c r="B552" s="58" t="s">
        <v>539</v>
      </c>
      <c r="C552" s="23" t="s">
        <v>0</v>
      </c>
      <c r="D552" s="43">
        <v>4.512</v>
      </c>
      <c r="E552" s="13"/>
      <c r="F552" s="43"/>
      <c r="G552" s="30"/>
    </row>
    <row r="553" spans="1:7" s="5" customFormat="1" ht="15">
      <c r="A553" s="30"/>
      <c r="B553" s="56" t="s">
        <v>540</v>
      </c>
      <c r="C553" s="23"/>
      <c r="D553" s="43"/>
      <c r="E553" s="13"/>
      <c r="F553" s="43"/>
      <c r="G553" s="30"/>
    </row>
    <row r="554" spans="1:7" s="5" customFormat="1" ht="15">
      <c r="A554" s="30"/>
      <c r="B554" s="58" t="s">
        <v>539</v>
      </c>
      <c r="C554" s="23" t="s">
        <v>0</v>
      </c>
      <c r="D554" s="43">
        <v>9.024</v>
      </c>
      <c r="E554" s="13"/>
      <c r="F554" s="43"/>
      <c r="G554" s="30"/>
    </row>
    <row r="555" spans="1:7" s="5" customFormat="1" ht="15">
      <c r="A555" s="30"/>
      <c r="B555" s="58" t="s">
        <v>541</v>
      </c>
      <c r="C555" s="23" t="s">
        <v>0</v>
      </c>
      <c r="D555" s="43">
        <v>3.329</v>
      </c>
      <c r="E555" s="13"/>
      <c r="F555" s="43"/>
      <c r="G555" s="30"/>
    </row>
    <row r="556" spans="1:7" s="5" customFormat="1" ht="15">
      <c r="A556" s="30"/>
      <c r="B556" s="56" t="s">
        <v>542</v>
      </c>
      <c r="C556" s="23"/>
      <c r="D556" s="43"/>
      <c r="E556" s="13"/>
      <c r="F556" s="43"/>
      <c r="G556" s="30"/>
    </row>
    <row r="557" spans="1:7" s="5" customFormat="1" ht="15">
      <c r="A557" s="30"/>
      <c r="B557" s="58" t="s">
        <v>507</v>
      </c>
      <c r="C557" s="23" t="s">
        <v>0</v>
      </c>
      <c r="D557" s="43">
        <v>3.158</v>
      </c>
      <c r="E557" s="13"/>
      <c r="F557" s="43"/>
      <c r="G557" s="30"/>
    </row>
    <row r="558" spans="1:7" s="5" customFormat="1" ht="15">
      <c r="A558" s="30"/>
      <c r="B558" s="58" t="s">
        <v>519</v>
      </c>
      <c r="C558" s="23" t="s">
        <v>0</v>
      </c>
      <c r="D558" s="43">
        <v>2.234</v>
      </c>
      <c r="E558" s="13"/>
      <c r="F558" s="43"/>
      <c r="G558" s="30"/>
    </row>
    <row r="559" spans="1:7" s="5" customFormat="1" ht="15">
      <c r="A559" s="29">
        <v>13.02</v>
      </c>
      <c r="B559" s="52" t="s">
        <v>549</v>
      </c>
      <c r="C559" s="30"/>
      <c r="D559" s="43"/>
      <c r="E559" s="43"/>
      <c r="F559" s="43"/>
      <c r="G559" s="30"/>
    </row>
    <row r="560" spans="1:7" s="5" customFormat="1" ht="15">
      <c r="A560" s="30"/>
      <c r="B560" s="56" t="s">
        <v>537</v>
      </c>
      <c r="C560" s="30"/>
      <c r="D560" s="43"/>
      <c r="E560" s="43"/>
      <c r="F560" s="43"/>
      <c r="G560" s="30"/>
    </row>
    <row r="561" spans="1:7" s="5" customFormat="1" ht="15">
      <c r="A561" s="30"/>
      <c r="B561" s="58" t="s">
        <v>517</v>
      </c>
      <c r="C561" s="23" t="s">
        <v>0</v>
      </c>
      <c r="D561" s="43">
        <v>1.944</v>
      </c>
      <c r="E561" s="13"/>
      <c r="F561" s="43"/>
      <c r="G561" s="30"/>
    </row>
    <row r="562" spans="1:7" s="5" customFormat="1" ht="15">
      <c r="A562" s="30"/>
      <c r="B562" s="58" t="s">
        <v>544</v>
      </c>
      <c r="C562" s="23" t="s">
        <v>0</v>
      </c>
      <c r="D562" s="43">
        <v>4.651</v>
      </c>
      <c r="E562" s="13"/>
      <c r="F562" s="43"/>
      <c r="G562" s="30"/>
    </row>
    <row r="563" spans="1:7" s="5" customFormat="1" ht="15">
      <c r="A563" s="30"/>
      <c r="B563" s="56" t="s">
        <v>540</v>
      </c>
      <c r="C563" s="23"/>
      <c r="D563" s="43"/>
      <c r="E563" s="13"/>
      <c r="F563" s="43"/>
      <c r="G563" s="30"/>
    </row>
    <row r="564" spans="1:7" s="5" customFormat="1" ht="15">
      <c r="A564" s="30"/>
      <c r="B564" s="58" t="s">
        <v>545</v>
      </c>
      <c r="C564" s="23" t="s">
        <v>0</v>
      </c>
      <c r="D564" s="43">
        <v>3.888</v>
      </c>
      <c r="E564" s="13"/>
      <c r="F564" s="43"/>
      <c r="G564" s="30"/>
    </row>
    <row r="565" spans="1:7" s="5" customFormat="1" ht="15">
      <c r="A565" s="30"/>
      <c r="B565" s="58" t="s">
        <v>546</v>
      </c>
      <c r="C565" s="23" t="s">
        <v>0</v>
      </c>
      <c r="D565" s="43">
        <v>2.399</v>
      </c>
      <c r="E565" s="13"/>
      <c r="F565" s="43"/>
      <c r="G565" s="30"/>
    </row>
    <row r="566" spans="1:7" s="5" customFormat="1" ht="15">
      <c r="A566" s="30"/>
      <c r="B566" s="56" t="s">
        <v>547</v>
      </c>
      <c r="C566" s="23"/>
      <c r="D566" s="43"/>
      <c r="E566" s="13"/>
      <c r="F566" s="43"/>
      <c r="G566" s="30"/>
    </row>
    <row r="567" spans="1:7" s="5" customFormat="1" ht="15">
      <c r="A567" s="30"/>
      <c r="B567" s="58" t="s">
        <v>508</v>
      </c>
      <c r="C567" s="23" t="s">
        <v>0</v>
      </c>
      <c r="D567" s="43">
        <v>1.458</v>
      </c>
      <c r="E567" s="13"/>
      <c r="F567" s="43"/>
      <c r="G567" s="30"/>
    </row>
    <row r="568" spans="1:7" s="5" customFormat="1" ht="15">
      <c r="A568" s="30"/>
      <c r="B568" s="58" t="s">
        <v>281</v>
      </c>
      <c r="C568" s="23" t="s">
        <v>0</v>
      </c>
      <c r="D568" s="43">
        <v>2.013</v>
      </c>
      <c r="E568" s="13"/>
      <c r="F568" s="43"/>
      <c r="G568" s="30"/>
    </row>
    <row r="569" spans="1:7" s="5" customFormat="1" ht="15">
      <c r="A569" s="30"/>
      <c r="B569" s="56" t="s">
        <v>548</v>
      </c>
      <c r="C569" s="23"/>
      <c r="D569" s="43"/>
      <c r="E569" s="13"/>
      <c r="F569" s="43"/>
      <c r="G569" s="30"/>
    </row>
    <row r="570" spans="1:7" s="5" customFormat="1" ht="15">
      <c r="A570" s="30"/>
      <c r="B570" s="58" t="s">
        <v>508</v>
      </c>
      <c r="C570" s="23" t="s">
        <v>0</v>
      </c>
      <c r="D570" s="43">
        <v>2.898</v>
      </c>
      <c r="E570" s="13"/>
      <c r="F570" s="43"/>
      <c r="G570" s="30"/>
    </row>
    <row r="571" spans="1:7" s="5" customFormat="1" ht="15">
      <c r="A571" s="30"/>
      <c r="B571" s="58" t="s">
        <v>281</v>
      </c>
      <c r="C571" s="23" t="s">
        <v>0</v>
      </c>
      <c r="D571" s="43">
        <v>1.013</v>
      </c>
      <c r="E571" s="13"/>
      <c r="F571" s="43"/>
      <c r="G571" s="30"/>
    </row>
    <row r="572" spans="1:7" s="5" customFormat="1" ht="15">
      <c r="A572" s="29">
        <v>13.021</v>
      </c>
      <c r="B572" s="52" t="s">
        <v>543</v>
      </c>
      <c r="C572" s="30"/>
      <c r="D572" s="43"/>
      <c r="E572" s="43"/>
      <c r="F572" s="43"/>
      <c r="G572" s="30"/>
    </row>
    <row r="573" spans="1:7" s="5" customFormat="1" ht="15">
      <c r="A573" s="30"/>
      <c r="B573" s="56" t="s">
        <v>537</v>
      </c>
      <c r="C573" s="30"/>
      <c r="D573" s="43"/>
      <c r="E573" s="43"/>
      <c r="F573" s="43"/>
      <c r="G573" s="30"/>
    </row>
    <row r="574" spans="1:7" s="5" customFormat="1" ht="15">
      <c r="A574" s="30"/>
      <c r="B574" s="58" t="s">
        <v>550</v>
      </c>
      <c r="C574" s="23" t="s">
        <v>0</v>
      </c>
      <c r="D574" s="43">
        <v>1.555</v>
      </c>
      <c r="E574" s="13"/>
      <c r="F574" s="43"/>
      <c r="G574" s="30"/>
    </row>
    <row r="575" spans="1:7" s="5" customFormat="1" ht="15">
      <c r="A575" s="30"/>
      <c r="B575" s="58" t="s">
        <v>551</v>
      </c>
      <c r="C575" s="23" t="s">
        <v>0</v>
      </c>
      <c r="D575" s="43">
        <v>3.275</v>
      </c>
      <c r="E575" s="13"/>
      <c r="F575" s="43"/>
      <c r="G575" s="30"/>
    </row>
    <row r="576" spans="1:7" s="5" customFormat="1" ht="15">
      <c r="A576" s="30"/>
      <c r="B576" s="58" t="s">
        <v>552</v>
      </c>
      <c r="C576" s="23" t="s">
        <v>0</v>
      </c>
      <c r="D576" s="43">
        <v>2.736</v>
      </c>
      <c r="E576" s="13"/>
      <c r="F576" s="43"/>
      <c r="G576" s="30"/>
    </row>
    <row r="577" spans="1:7" s="5" customFormat="1" ht="15">
      <c r="A577" s="30"/>
      <c r="B577" s="56" t="s">
        <v>540</v>
      </c>
      <c r="C577" s="23"/>
      <c r="D577" s="43"/>
      <c r="E577" s="13"/>
      <c r="F577" s="43"/>
      <c r="G577" s="30"/>
    </row>
    <row r="578" spans="1:7" s="5" customFormat="1" ht="15">
      <c r="A578" s="30"/>
      <c r="B578" s="58" t="s">
        <v>553</v>
      </c>
      <c r="C578" s="23" t="s">
        <v>0</v>
      </c>
      <c r="D578" s="43">
        <v>3.11</v>
      </c>
      <c r="E578" s="13"/>
      <c r="F578" s="43"/>
      <c r="G578" s="30"/>
    </row>
    <row r="579" spans="1:7" s="5" customFormat="1" ht="15">
      <c r="A579" s="30"/>
      <c r="B579" s="58" t="s">
        <v>554</v>
      </c>
      <c r="C579" s="23" t="s">
        <v>0</v>
      </c>
      <c r="D579" s="43">
        <v>1.673</v>
      </c>
      <c r="E579" s="13"/>
      <c r="F579" s="43"/>
      <c r="G579" s="30"/>
    </row>
    <row r="580" spans="1:7" s="5" customFormat="1" ht="15">
      <c r="A580" s="30"/>
      <c r="B580" s="58" t="s">
        <v>552</v>
      </c>
      <c r="C580" s="23" t="s">
        <v>0</v>
      </c>
      <c r="D580" s="43">
        <v>2.736</v>
      </c>
      <c r="E580" s="13"/>
      <c r="F580" s="43"/>
      <c r="G580" s="30"/>
    </row>
    <row r="581" spans="1:7" s="5" customFormat="1" ht="15">
      <c r="A581" s="30"/>
      <c r="B581" s="56" t="s">
        <v>547</v>
      </c>
      <c r="C581" s="23"/>
      <c r="D581" s="43"/>
      <c r="E581" s="13"/>
      <c r="F581" s="43"/>
      <c r="G581" s="30"/>
    </row>
    <row r="582" spans="1:7" s="5" customFormat="1" ht="15">
      <c r="A582" s="30"/>
      <c r="B582" s="58" t="s">
        <v>435</v>
      </c>
      <c r="C582" s="23" t="s">
        <v>0</v>
      </c>
      <c r="D582" s="43">
        <v>1.458</v>
      </c>
      <c r="E582" s="13"/>
      <c r="F582" s="43"/>
      <c r="G582" s="30"/>
    </row>
    <row r="583" spans="1:7" s="5" customFormat="1" ht="15">
      <c r="A583" s="30"/>
      <c r="B583" s="58" t="s">
        <v>281</v>
      </c>
      <c r="C583" s="23" t="s">
        <v>0</v>
      </c>
      <c r="D583" s="43">
        <v>2.673</v>
      </c>
      <c r="E583" s="13"/>
      <c r="F583" s="43"/>
      <c r="G583" s="30"/>
    </row>
    <row r="584" spans="1:7" s="5" customFormat="1" ht="15">
      <c r="A584" s="30"/>
      <c r="B584" s="58" t="s">
        <v>280</v>
      </c>
      <c r="C584" s="23" t="s">
        <v>0</v>
      </c>
      <c r="D584" s="43">
        <v>1.961</v>
      </c>
      <c r="E584" s="13"/>
      <c r="F584" s="43"/>
      <c r="G584" s="30"/>
    </row>
    <row r="585" spans="1:7" s="5" customFormat="1" ht="15">
      <c r="A585" s="30"/>
      <c r="B585" s="58" t="s">
        <v>280</v>
      </c>
      <c r="C585" s="23" t="s">
        <v>0</v>
      </c>
      <c r="D585" s="43">
        <v>1.672</v>
      </c>
      <c r="E585" s="43"/>
      <c r="F585" s="43"/>
      <c r="G585" s="30"/>
    </row>
    <row r="586" spans="1:7" s="5" customFormat="1" ht="15">
      <c r="A586" s="30"/>
      <c r="B586" s="56" t="s">
        <v>548</v>
      </c>
      <c r="C586" s="23"/>
      <c r="D586" s="43"/>
      <c r="E586" s="43"/>
      <c r="F586" s="43"/>
      <c r="G586" s="30"/>
    </row>
    <row r="587" spans="1:7" s="5" customFormat="1" ht="15">
      <c r="A587" s="30"/>
      <c r="B587" s="58" t="s">
        <v>435</v>
      </c>
      <c r="C587" s="23" t="s">
        <v>0</v>
      </c>
      <c r="D587" s="43">
        <v>2.93</v>
      </c>
      <c r="E587" s="13"/>
      <c r="F587" s="43"/>
      <c r="G587" s="30"/>
    </row>
    <row r="588" spans="1:7" s="5" customFormat="1" ht="15">
      <c r="A588" s="30"/>
      <c r="B588" s="58" t="s">
        <v>281</v>
      </c>
      <c r="C588" s="23" t="s">
        <v>0</v>
      </c>
      <c r="D588" s="43">
        <v>1.361</v>
      </c>
      <c r="E588" s="13"/>
      <c r="F588" s="43"/>
      <c r="G588" s="30"/>
    </row>
    <row r="589" spans="1:7" s="5" customFormat="1" ht="15">
      <c r="A589" s="30"/>
      <c r="B589" s="58" t="s">
        <v>280</v>
      </c>
      <c r="C589" s="23" t="s">
        <v>0</v>
      </c>
      <c r="D589" s="43">
        <v>1.961</v>
      </c>
      <c r="E589" s="13"/>
      <c r="F589" s="43"/>
      <c r="G589" s="30"/>
    </row>
    <row r="590" spans="1:7" s="5" customFormat="1" ht="15">
      <c r="A590" s="30"/>
      <c r="B590" s="58" t="s">
        <v>280</v>
      </c>
      <c r="C590" s="23" t="s">
        <v>0</v>
      </c>
      <c r="D590" s="43">
        <v>1.672</v>
      </c>
      <c r="E590" s="13"/>
      <c r="F590" s="43"/>
      <c r="G590" s="30"/>
    </row>
    <row r="591" spans="1:7" s="5" customFormat="1" ht="15">
      <c r="A591" s="29">
        <v>13.022</v>
      </c>
      <c r="B591" s="52" t="s">
        <v>555</v>
      </c>
      <c r="C591" s="30"/>
      <c r="D591" s="43"/>
      <c r="E591" s="13"/>
      <c r="F591" s="43"/>
      <c r="G591" s="30"/>
    </row>
    <row r="592" spans="1:7" s="5" customFormat="1" ht="15">
      <c r="A592" s="30"/>
      <c r="B592" s="59" t="s">
        <v>537</v>
      </c>
      <c r="C592" s="23" t="s">
        <v>0</v>
      </c>
      <c r="D592" s="43">
        <v>1.56</v>
      </c>
      <c r="E592" s="13"/>
      <c r="F592" s="43"/>
      <c r="G592" s="30"/>
    </row>
    <row r="593" spans="1:7" s="5" customFormat="1" ht="15">
      <c r="A593" s="30"/>
      <c r="B593" s="58" t="s">
        <v>540</v>
      </c>
      <c r="C593" s="23" t="s">
        <v>0</v>
      </c>
      <c r="D593" s="43">
        <v>1.56</v>
      </c>
      <c r="E593" s="13"/>
      <c r="F593" s="43"/>
      <c r="G593" s="30"/>
    </row>
    <row r="594" spans="1:7" s="5" customFormat="1" ht="15">
      <c r="A594" s="30"/>
      <c r="B594" s="58" t="s">
        <v>547</v>
      </c>
      <c r="C594" s="23" t="s">
        <v>0</v>
      </c>
      <c r="D594" s="43">
        <v>1.56</v>
      </c>
      <c r="E594" s="13"/>
      <c r="F594" s="43"/>
      <c r="G594" s="30"/>
    </row>
    <row r="595" spans="1:7" s="5" customFormat="1" ht="15">
      <c r="A595" s="30"/>
      <c r="B595" s="58" t="s">
        <v>548</v>
      </c>
      <c r="C595" s="23" t="s">
        <v>0</v>
      </c>
      <c r="D595" s="43">
        <v>1.56</v>
      </c>
      <c r="E595" s="13"/>
      <c r="F595" s="43"/>
      <c r="G595" s="30"/>
    </row>
    <row r="596" spans="1:7" s="5" customFormat="1" ht="15">
      <c r="A596" s="29">
        <v>13.023</v>
      </c>
      <c r="B596" s="52" t="s">
        <v>577</v>
      </c>
      <c r="C596" s="23"/>
      <c r="D596" s="43"/>
      <c r="E596" s="13"/>
      <c r="F596" s="43"/>
      <c r="G596" s="30"/>
    </row>
    <row r="597" spans="1:7" s="5" customFormat="1" ht="15">
      <c r="A597" s="30"/>
      <c r="B597" s="60" t="s">
        <v>561</v>
      </c>
      <c r="C597" s="30"/>
      <c r="D597" s="43"/>
      <c r="E597" s="43"/>
      <c r="F597" s="43"/>
      <c r="G597" s="30"/>
    </row>
    <row r="598" spans="1:7" s="5" customFormat="1" ht="15">
      <c r="A598" s="30"/>
      <c r="B598" s="53" t="s">
        <v>562</v>
      </c>
      <c r="C598" s="23" t="s">
        <v>0</v>
      </c>
      <c r="D598" s="43">
        <v>6.198</v>
      </c>
      <c r="E598" s="13"/>
      <c r="F598" s="43"/>
      <c r="G598" s="30"/>
    </row>
    <row r="599" spans="1:7" s="5" customFormat="1" ht="15">
      <c r="A599" s="30"/>
      <c r="B599" s="53" t="s">
        <v>563</v>
      </c>
      <c r="C599" s="23" t="s">
        <v>0</v>
      </c>
      <c r="D599" s="43">
        <v>6.198</v>
      </c>
      <c r="E599" s="13"/>
      <c r="F599" s="43"/>
      <c r="G599" s="30"/>
    </row>
    <row r="600" spans="1:7" s="5" customFormat="1" ht="15">
      <c r="A600" s="30"/>
      <c r="B600" s="60" t="s">
        <v>576</v>
      </c>
      <c r="C600" s="30"/>
      <c r="D600" s="43"/>
      <c r="E600" s="13"/>
      <c r="F600" s="43"/>
      <c r="G600" s="30"/>
    </row>
    <row r="601" spans="1:7" s="5" customFormat="1" ht="15">
      <c r="A601" s="30"/>
      <c r="B601" s="59" t="s">
        <v>564</v>
      </c>
      <c r="C601" s="23" t="s">
        <v>0</v>
      </c>
      <c r="D601" s="43">
        <v>30.322</v>
      </c>
      <c r="E601" s="13"/>
      <c r="F601" s="43"/>
      <c r="G601" s="30"/>
    </row>
    <row r="602" spans="1:7" s="5" customFormat="1" ht="15">
      <c r="A602" s="30"/>
      <c r="B602" s="58" t="s">
        <v>565</v>
      </c>
      <c r="C602" s="23" t="s">
        <v>0</v>
      </c>
      <c r="D602" s="43">
        <v>30.724</v>
      </c>
      <c r="E602" s="13"/>
      <c r="F602" s="43"/>
      <c r="G602" s="30"/>
    </row>
    <row r="603" spans="1:7" s="5" customFormat="1" ht="15">
      <c r="A603" s="30"/>
      <c r="B603" s="58" t="s">
        <v>566</v>
      </c>
      <c r="C603" s="23" t="s">
        <v>0</v>
      </c>
      <c r="D603" s="43">
        <v>3.089</v>
      </c>
      <c r="E603" s="13"/>
      <c r="F603" s="43"/>
      <c r="G603" s="30"/>
    </row>
    <row r="604" spans="1:7" s="5" customFormat="1" ht="15">
      <c r="A604" s="30"/>
      <c r="B604" s="60" t="s">
        <v>567</v>
      </c>
      <c r="C604" s="30"/>
      <c r="D604" s="43"/>
      <c r="E604" s="43"/>
      <c r="F604" s="43"/>
      <c r="G604" s="30"/>
    </row>
    <row r="605" spans="1:7" s="5" customFormat="1" ht="15">
      <c r="A605" s="30"/>
      <c r="B605" s="59" t="s">
        <v>568</v>
      </c>
      <c r="C605" s="23" t="s">
        <v>0</v>
      </c>
      <c r="D605" s="43">
        <v>8.23</v>
      </c>
      <c r="E605" s="13"/>
      <c r="F605" s="43"/>
      <c r="G605" s="30"/>
    </row>
    <row r="606" spans="1:7" s="5" customFormat="1" ht="15">
      <c r="A606" s="30"/>
      <c r="B606" s="58" t="s">
        <v>569</v>
      </c>
      <c r="C606" s="23" t="s">
        <v>0</v>
      </c>
      <c r="D606" s="43">
        <v>8.754</v>
      </c>
      <c r="E606" s="13"/>
      <c r="F606" s="43"/>
      <c r="G606" s="30"/>
    </row>
    <row r="607" spans="1:7" s="5" customFormat="1" ht="15">
      <c r="A607" s="30"/>
      <c r="B607" s="58" t="s">
        <v>570</v>
      </c>
      <c r="C607" s="23" t="s">
        <v>0</v>
      </c>
      <c r="D607" s="43">
        <v>1.62</v>
      </c>
      <c r="E607" s="13"/>
      <c r="F607" s="43"/>
      <c r="G607" s="30"/>
    </row>
    <row r="608" spans="1:7" s="5" customFormat="1" ht="15">
      <c r="A608" s="30"/>
      <c r="B608" s="52" t="s">
        <v>579</v>
      </c>
      <c r="C608" s="23"/>
      <c r="D608" s="43"/>
      <c r="E608" s="13"/>
      <c r="F608" s="43"/>
      <c r="G608" s="30"/>
    </row>
    <row r="609" spans="1:7" s="5" customFormat="1" ht="15">
      <c r="A609" s="30"/>
      <c r="B609" s="59" t="s">
        <v>580</v>
      </c>
      <c r="C609" s="23" t="s">
        <v>0</v>
      </c>
      <c r="D609" s="43">
        <v>6.582</v>
      </c>
      <c r="E609" s="13"/>
      <c r="F609" s="43"/>
      <c r="G609" s="30"/>
    </row>
    <row r="610" spans="1:7" s="5" customFormat="1" ht="15">
      <c r="A610" s="30"/>
      <c r="B610" s="58" t="s">
        <v>578</v>
      </c>
      <c r="C610" s="23" t="s">
        <v>0</v>
      </c>
      <c r="D610" s="43">
        <v>1.392</v>
      </c>
      <c r="E610" s="13"/>
      <c r="F610" s="43"/>
      <c r="G610" s="30"/>
    </row>
    <row r="611" spans="1:7" s="5" customFormat="1" ht="15">
      <c r="A611" s="29"/>
      <c r="B611" s="21" t="s">
        <v>296</v>
      </c>
      <c r="C611" s="30"/>
      <c r="D611" s="43"/>
      <c r="E611" s="43"/>
      <c r="F611" s="43"/>
      <c r="G611" s="30"/>
    </row>
    <row r="612" spans="1:7" s="5" customFormat="1" ht="15">
      <c r="A612" s="29">
        <v>13.024</v>
      </c>
      <c r="B612" s="30" t="s">
        <v>572</v>
      </c>
      <c r="C612" s="42" t="s">
        <v>10</v>
      </c>
      <c r="D612" s="43">
        <v>385.42</v>
      </c>
      <c r="E612" s="13"/>
      <c r="F612" s="43"/>
      <c r="G612" s="30"/>
    </row>
    <row r="613" spans="1:7" s="5" customFormat="1" ht="15">
      <c r="A613" s="29">
        <f>+A612+0.001</f>
        <v>13.024999999999999</v>
      </c>
      <c r="B613" s="30" t="s">
        <v>573</v>
      </c>
      <c r="C613" s="42" t="s">
        <v>10</v>
      </c>
      <c r="D613" s="43">
        <v>783.2</v>
      </c>
      <c r="E613" s="13"/>
      <c r="F613" s="43"/>
      <c r="G613" s="30"/>
    </row>
    <row r="614" spans="1:7" s="5" customFormat="1" ht="15">
      <c r="A614" s="29">
        <f aca="true" t="shared" si="11" ref="A614:A675">+A613+0.001</f>
        <v>13.025999999999998</v>
      </c>
      <c r="B614" s="30" t="s">
        <v>574</v>
      </c>
      <c r="C614" s="42" t="s">
        <v>10</v>
      </c>
      <c r="D614" s="43">
        <v>15.43</v>
      </c>
      <c r="E614" s="13"/>
      <c r="F614" s="43"/>
      <c r="G614" s="30"/>
    </row>
    <row r="615" spans="1:7" s="5" customFormat="1" ht="15">
      <c r="A615" s="29">
        <f t="shared" si="11"/>
        <v>13.026999999999997</v>
      </c>
      <c r="B615" s="30" t="s">
        <v>575</v>
      </c>
      <c r="C615" s="42" t="s">
        <v>10</v>
      </c>
      <c r="D615" s="43">
        <v>2.1</v>
      </c>
      <c r="E615" s="13"/>
      <c r="F615" s="43"/>
      <c r="G615" s="30"/>
    </row>
    <row r="616" spans="1:7" s="5" customFormat="1" ht="15">
      <c r="A616" s="29"/>
      <c r="B616" s="21" t="s">
        <v>292</v>
      </c>
      <c r="C616" s="48"/>
      <c r="D616" s="49"/>
      <c r="E616" s="50"/>
      <c r="F616" s="50"/>
      <c r="G616" s="14"/>
    </row>
    <row r="617" spans="1:7" s="5" customFormat="1" ht="12.75">
      <c r="A617" s="29">
        <v>13.028</v>
      </c>
      <c r="B617" s="47" t="s">
        <v>262</v>
      </c>
      <c r="C617" s="48" t="s">
        <v>10</v>
      </c>
      <c r="D617" s="49">
        <v>1444.83</v>
      </c>
      <c r="E617" s="50"/>
      <c r="F617" s="50"/>
      <c r="G617" s="14"/>
    </row>
    <row r="618" spans="1:7" s="5" customFormat="1" ht="12.75">
      <c r="A618" s="29">
        <f t="shared" si="11"/>
        <v>13.029</v>
      </c>
      <c r="B618" s="47" t="s">
        <v>293</v>
      </c>
      <c r="C618" s="48" t="s">
        <v>10</v>
      </c>
      <c r="D618" s="49">
        <f>+D617</f>
        <v>1444.83</v>
      </c>
      <c r="E618" s="50"/>
      <c r="F618" s="50"/>
      <c r="G618" s="14"/>
    </row>
    <row r="619" spans="1:7" s="5" customFormat="1" ht="12.75">
      <c r="A619" s="29">
        <f t="shared" si="11"/>
        <v>13.03</v>
      </c>
      <c r="B619" s="47" t="s">
        <v>581</v>
      </c>
      <c r="C619" s="48" t="s">
        <v>10</v>
      </c>
      <c r="D619" s="49">
        <v>1730</v>
      </c>
      <c r="E619" s="50"/>
      <c r="F619" s="50"/>
      <c r="G619" s="14"/>
    </row>
    <row r="620" spans="1:7" s="5" customFormat="1" ht="12.75">
      <c r="A620" s="29">
        <f t="shared" si="11"/>
        <v>13.030999999999999</v>
      </c>
      <c r="B620" s="51" t="s">
        <v>309</v>
      </c>
      <c r="C620" s="48" t="s">
        <v>11</v>
      </c>
      <c r="D620" s="49">
        <v>1235.22</v>
      </c>
      <c r="E620" s="50"/>
      <c r="F620" s="50"/>
      <c r="G620" s="14"/>
    </row>
    <row r="621" spans="1:7" s="5" customFormat="1" ht="12.75">
      <c r="A621" s="29">
        <f t="shared" si="11"/>
        <v>13.031999999999998</v>
      </c>
      <c r="B621" s="47" t="s">
        <v>294</v>
      </c>
      <c r="C621" s="48" t="s">
        <v>10</v>
      </c>
      <c r="D621" s="49">
        <v>515.55</v>
      </c>
      <c r="E621" s="50"/>
      <c r="F621" s="50"/>
      <c r="G621" s="14"/>
    </row>
    <row r="622" spans="1:7" s="5" customFormat="1" ht="12.75">
      <c r="A622" s="29">
        <f t="shared" si="11"/>
        <v>13.032999999999998</v>
      </c>
      <c r="B622" s="47" t="s">
        <v>299</v>
      </c>
      <c r="C622" s="48" t="s">
        <v>10</v>
      </c>
      <c r="D622" s="49">
        <f>913.6*0.2</f>
        <v>182.72000000000003</v>
      </c>
      <c r="E622" s="50"/>
      <c r="F622" s="50"/>
      <c r="G622" s="14"/>
    </row>
    <row r="623" spans="1:7" s="5" customFormat="1" ht="12.75">
      <c r="A623" s="29">
        <f t="shared" si="11"/>
        <v>13.033999999999997</v>
      </c>
      <c r="B623" s="47" t="s">
        <v>582</v>
      </c>
      <c r="C623" s="48" t="s">
        <v>11</v>
      </c>
      <c r="D623" s="49">
        <v>2395.88</v>
      </c>
      <c r="E623" s="50"/>
      <c r="F623" s="50"/>
      <c r="G623" s="14"/>
    </row>
    <row r="624" spans="1:7" s="5" customFormat="1" ht="15">
      <c r="A624" s="29"/>
      <c r="B624" s="21" t="s">
        <v>316</v>
      </c>
      <c r="C624" s="48"/>
      <c r="D624" s="49"/>
      <c r="E624" s="50"/>
      <c r="F624" s="50"/>
      <c r="G624" s="14"/>
    </row>
    <row r="625" spans="1:7" s="5" customFormat="1" ht="12.75">
      <c r="A625" s="29">
        <v>13.035</v>
      </c>
      <c r="B625" s="47" t="s">
        <v>317</v>
      </c>
      <c r="C625" s="48" t="s">
        <v>10</v>
      </c>
      <c r="D625" s="49">
        <v>734.7</v>
      </c>
      <c r="E625" s="50"/>
      <c r="F625" s="50"/>
      <c r="G625" s="14"/>
    </row>
    <row r="626" spans="1:7" s="5" customFormat="1" ht="12.75">
      <c r="A626" s="29">
        <f t="shared" si="11"/>
        <v>13.036</v>
      </c>
      <c r="B626" s="47" t="s">
        <v>359</v>
      </c>
      <c r="C626" s="48" t="s">
        <v>11</v>
      </c>
      <c r="D626" s="49">
        <v>725</v>
      </c>
      <c r="E626" s="50"/>
      <c r="F626" s="50"/>
      <c r="G626" s="14"/>
    </row>
    <row r="627" spans="1:7" s="5" customFormat="1" ht="12.75">
      <c r="A627" s="29">
        <f t="shared" si="11"/>
        <v>13.036999999999999</v>
      </c>
      <c r="B627" s="47" t="s">
        <v>358</v>
      </c>
      <c r="C627" s="48" t="s">
        <v>11</v>
      </c>
      <c r="D627" s="49">
        <v>529.8</v>
      </c>
      <c r="E627" s="50"/>
      <c r="F627" s="50"/>
      <c r="G627" s="14"/>
    </row>
    <row r="628" spans="1:7" s="5" customFormat="1" ht="12.75">
      <c r="A628" s="29">
        <f t="shared" si="11"/>
        <v>13.037999999999998</v>
      </c>
      <c r="B628" s="47" t="s">
        <v>320</v>
      </c>
      <c r="C628" s="48" t="s">
        <v>11</v>
      </c>
      <c r="D628" s="49">
        <f>63*4</f>
        <v>252</v>
      </c>
      <c r="E628" s="50"/>
      <c r="F628" s="50"/>
      <c r="G628" s="14"/>
    </row>
    <row r="629" spans="1:7" s="5" customFormat="1" ht="12.75">
      <c r="A629" s="29">
        <f t="shared" si="11"/>
        <v>13.038999999999998</v>
      </c>
      <c r="B629" s="47" t="s">
        <v>318</v>
      </c>
      <c r="C629" s="48" t="s">
        <v>12</v>
      </c>
      <c r="D629" s="49">
        <v>1</v>
      </c>
      <c r="E629" s="50"/>
      <c r="F629" s="50"/>
      <c r="G629" s="14"/>
    </row>
    <row r="630" spans="1:7" s="5" customFormat="1" ht="15">
      <c r="A630" s="29"/>
      <c r="B630" s="21" t="s">
        <v>322</v>
      </c>
      <c r="C630" s="48"/>
      <c r="D630" s="49"/>
      <c r="E630" s="50"/>
      <c r="F630" s="50"/>
      <c r="G630" s="14"/>
    </row>
    <row r="631" spans="1:7" s="5" customFormat="1" ht="15">
      <c r="A631" s="29">
        <v>13.04</v>
      </c>
      <c r="B631" s="62" t="s">
        <v>601</v>
      </c>
      <c r="C631" s="48"/>
      <c r="D631" s="49"/>
      <c r="E631" s="50"/>
      <c r="F631" s="50"/>
      <c r="G631" s="14"/>
    </row>
    <row r="632" spans="1:7" s="5" customFormat="1" ht="12.75">
      <c r="A632" s="29"/>
      <c r="B632" s="47" t="s">
        <v>325</v>
      </c>
      <c r="C632" s="48" t="s">
        <v>10</v>
      </c>
      <c r="D632" s="49">
        <v>1391.98</v>
      </c>
      <c r="E632" s="50"/>
      <c r="F632" s="50"/>
      <c r="G632" s="14"/>
    </row>
    <row r="633" spans="1:7" s="5" customFormat="1" ht="12.75">
      <c r="A633" s="29"/>
      <c r="B633" s="47" t="s">
        <v>323</v>
      </c>
      <c r="C633" s="48" t="s">
        <v>11</v>
      </c>
      <c r="D633" s="49">
        <f>61*25+(25*61)</f>
        <v>3050</v>
      </c>
      <c r="E633" s="50"/>
      <c r="F633" s="50"/>
      <c r="G633" s="14"/>
    </row>
    <row r="634" spans="1:7" s="5" customFormat="1" ht="12.75">
      <c r="A634" s="29"/>
      <c r="B634" s="47" t="s">
        <v>326</v>
      </c>
      <c r="C634" s="48" t="s">
        <v>10</v>
      </c>
      <c r="D634" s="49">
        <f>+D632</f>
        <v>1391.98</v>
      </c>
      <c r="E634" s="50"/>
      <c r="F634" s="50"/>
      <c r="G634" s="14"/>
    </row>
    <row r="635" spans="1:7" s="5" customFormat="1" ht="12.75">
      <c r="A635" s="29"/>
      <c r="B635" s="47" t="s">
        <v>324</v>
      </c>
      <c r="C635" s="48" t="s">
        <v>11</v>
      </c>
      <c r="D635" s="49">
        <f>+D632*0.76254</f>
        <v>1061.4404292</v>
      </c>
      <c r="E635" s="50"/>
      <c r="F635" s="50"/>
      <c r="G635" s="14"/>
    </row>
    <row r="636" spans="1:7" s="5" customFormat="1" ht="15">
      <c r="A636" s="29">
        <v>13.041</v>
      </c>
      <c r="B636" s="62" t="s">
        <v>602</v>
      </c>
      <c r="C636" s="48"/>
      <c r="D636" s="49"/>
      <c r="E636" s="50"/>
      <c r="F636" s="50"/>
      <c r="G636" s="14"/>
    </row>
    <row r="637" spans="1:7" s="5" customFormat="1" ht="12.75">
      <c r="A637" s="29"/>
      <c r="B637" s="47" t="s">
        <v>325</v>
      </c>
      <c r="C637" s="48" t="s">
        <v>10</v>
      </c>
      <c r="D637" s="49">
        <v>1089.88</v>
      </c>
      <c r="E637" s="50"/>
      <c r="F637" s="50"/>
      <c r="G637" s="14"/>
    </row>
    <row r="638" spans="1:7" s="5" customFormat="1" ht="12.75">
      <c r="A638" s="29"/>
      <c r="B638" s="47" t="s">
        <v>323</v>
      </c>
      <c r="C638" s="48" t="s">
        <v>11</v>
      </c>
      <c r="D638" s="49">
        <f>61*18+(25*45)</f>
        <v>2223</v>
      </c>
      <c r="E638" s="50"/>
      <c r="F638" s="50"/>
      <c r="G638" s="14"/>
    </row>
    <row r="639" spans="1:7" s="5" customFormat="1" ht="12.75">
      <c r="A639" s="29"/>
      <c r="B639" s="47" t="s">
        <v>326</v>
      </c>
      <c r="C639" s="48" t="s">
        <v>10</v>
      </c>
      <c r="D639" s="49">
        <f>+D637</f>
        <v>1089.88</v>
      </c>
      <c r="E639" s="50"/>
      <c r="F639" s="50"/>
      <c r="G639" s="14"/>
    </row>
    <row r="640" spans="1:7" s="5" customFormat="1" ht="12.75">
      <c r="A640" s="29"/>
      <c r="B640" s="47" t="s">
        <v>324</v>
      </c>
      <c r="C640" s="48" t="s">
        <v>11</v>
      </c>
      <c r="D640" s="49">
        <f>+D637*0.76254</f>
        <v>831.0770952</v>
      </c>
      <c r="E640" s="50"/>
      <c r="F640" s="50"/>
      <c r="G640" s="14"/>
    </row>
    <row r="641" spans="1:7" s="5" customFormat="1" ht="15">
      <c r="A641" s="29"/>
      <c r="B641" s="21" t="s">
        <v>363</v>
      </c>
      <c r="C641" s="48"/>
      <c r="D641" s="49"/>
      <c r="E641" s="50"/>
      <c r="F641" s="50"/>
      <c r="G641" s="14"/>
    </row>
    <row r="642" spans="1:7" s="5" customFormat="1" ht="12.75">
      <c r="A642" s="29">
        <v>13.042</v>
      </c>
      <c r="B642" s="47" t="s">
        <v>600</v>
      </c>
      <c r="C642" s="48" t="s">
        <v>11</v>
      </c>
      <c r="D642" s="49">
        <f>7*4*4*1.1</f>
        <v>123.20000000000002</v>
      </c>
      <c r="E642" s="50"/>
      <c r="F642" s="50"/>
      <c r="G642" s="14"/>
    </row>
    <row r="643" spans="1:7" s="5" customFormat="1" ht="12.75">
      <c r="A643" s="29">
        <f t="shared" si="11"/>
        <v>13.043</v>
      </c>
      <c r="B643" s="47" t="s">
        <v>380</v>
      </c>
      <c r="C643" s="48" t="s">
        <v>11</v>
      </c>
      <c r="D643" s="49">
        <f>7*4*4</f>
        <v>112</v>
      </c>
      <c r="E643" s="50"/>
      <c r="F643" s="50"/>
      <c r="G643" s="14"/>
    </row>
    <row r="644" spans="1:7" s="5" customFormat="1" ht="12.75">
      <c r="A644" s="29">
        <f t="shared" si="11"/>
        <v>13.043999999999999</v>
      </c>
      <c r="B644" s="47" t="s">
        <v>381</v>
      </c>
      <c r="C644" s="48" t="s">
        <v>11</v>
      </c>
      <c r="D644" s="49">
        <f>7*2*4</f>
        <v>56</v>
      </c>
      <c r="E644" s="50"/>
      <c r="F644" s="50"/>
      <c r="G644" s="14"/>
    </row>
    <row r="645" spans="1:7" s="5" customFormat="1" ht="12.75">
      <c r="A645" s="29">
        <f t="shared" si="11"/>
        <v>13.044999999999998</v>
      </c>
      <c r="B645" s="47" t="s">
        <v>595</v>
      </c>
      <c r="C645" s="48" t="s">
        <v>11</v>
      </c>
      <c r="D645" s="49">
        <f>7.3*2</f>
        <v>14.6</v>
      </c>
      <c r="E645" s="50"/>
      <c r="F645" s="50"/>
      <c r="G645" s="14"/>
    </row>
    <row r="646" spans="1:7" s="5" customFormat="1" ht="25.5">
      <c r="A646" s="29">
        <f t="shared" si="11"/>
        <v>13.045999999999998</v>
      </c>
      <c r="B646" s="47" t="s">
        <v>590</v>
      </c>
      <c r="C646" s="48" t="s">
        <v>589</v>
      </c>
      <c r="D646" s="49">
        <f>3*8</f>
        <v>24</v>
      </c>
      <c r="E646" s="50"/>
      <c r="F646" s="50"/>
      <c r="G646" s="14"/>
    </row>
    <row r="647" spans="1:7" s="5" customFormat="1" ht="12.75">
      <c r="A647" s="29">
        <f t="shared" si="11"/>
        <v>13.046999999999997</v>
      </c>
      <c r="B647" s="47" t="s">
        <v>592</v>
      </c>
      <c r="C647" s="48" t="s">
        <v>364</v>
      </c>
      <c r="D647" s="49">
        <f>3.45*8*3.28</f>
        <v>90.528</v>
      </c>
      <c r="E647" s="50"/>
      <c r="F647" s="50"/>
      <c r="G647" s="14"/>
    </row>
    <row r="648" spans="1:7" s="5" customFormat="1" ht="25.5">
      <c r="A648" s="29">
        <f t="shared" si="11"/>
        <v>13.047999999999996</v>
      </c>
      <c r="B648" s="47" t="s">
        <v>371</v>
      </c>
      <c r="C648" s="48" t="s">
        <v>27</v>
      </c>
      <c r="D648" s="49">
        <f>4*2*4</f>
        <v>32</v>
      </c>
      <c r="E648" s="50"/>
      <c r="F648" s="50"/>
      <c r="G648" s="14"/>
    </row>
    <row r="649" spans="1:7" s="5" customFormat="1" ht="12.75">
      <c r="A649" s="29">
        <f>+A648+0.001</f>
        <v>13.048999999999996</v>
      </c>
      <c r="B649" s="47" t="s">
        <v>367</v>
      </c>
      <c r="C649" s="48" t="s">
        <v>27</v>
      </c>
      <c r="D649" s="49">
        <f>+D648</f>
        <v>32</v>
      </c>
      <c r="E649" s="50"/>
      <c r="F649" s="50"/>
      <c r="G649" s="14"/>
    </row>
    <row r="650" spans="1:7" s="5" customFormat="1" ht="25.5">
      <c r="A650" s="29">
        <f t="shared" si="11"/>
        <v>13.049999999999995</v>
      </c>
      <c r="B650" s="47" t="s">
        <v>366</v>
      </c>
      <c r="C650" s="48" t="s">
        <v>27</v>
      </c>
      <c r="D650" s="49">
        <f>+D649</f>
        <v>32</v>
      </c>
      <c r="E650" s="50"/>
      <c r="F650" s="50"/>
      <c r="G650" s="14"/>
    </row>
    <row r="651" spans="1:7" s="5" customFormat="1" ht="25.5">
      <c r="A651" s="29">
        <f t="shared" si="11"/>
        <v>13.050999999999995</v>
      </c>
      <c r="B651" s="47" t="s">
        <v>372</v>
      </c>
      <c r="C651" s="48" t="s">
        <v>27</v>
      </c>
      <c r="D651" s="49">
        <f>9*4</f>
        <v>36</v>
      </c>
      <c r="E651" s="50"/>
      <c r="F651" s="50"/>
      <c r="G651" s="14"/>
    </row>
    <row r="652" spans="1:7" s="5" customFormat="1" ht="12.75">
      <c r="A652" s="29">
        <f t="shared" si="11"/>
        <v>13.051999999999994</v>
      </c>
      <c r="B652" s="47" t="s">
        <v>365</v>
      </c>
      <c r="C652" s="48" t="s">
        <v>27</v>
      </c>
      <c r="D652" s="49">
        <f>+D651</f>
        <v>36</v>
      </c>
      <c r="E652" s="50"/>
      <c r="F652" s="50"/>
      <c r="G652" s="14"/>
    </row>
    <row r="653" spans="1:7" s="5" customFormat="1" ht="12.75">
      <c r="A653" s="29">
        <f t="shared" si="11"/>
        <v>13.052999999999994</v>
      </c>
      <c r="B653" s="47" t="s">
        <v>374</v>
      </c>
      <c r="C653" s="48" t="s">
        <v>27</v>
      </c>
      <c r="D653" s="49">
        <f>4*4</f>
        <v>16</v>
      </c>
      <c r="E653" s="50"/>
      <c r="F653" s="50"/>
      <c r="G653" s="14"/>
    </row>
    <row r="654" spans="1:7" s="5" customFormat="1" ht="12.75">
      <c r="A654" s="29">
        <f t="shared" si="11"/>
        <v>13.053999999999993</v>
      </c>
      <c r="B654" s="47" t="s">
        <v>591</v>
      </c>
      <c r="C654" s="48" t="s">
        <v>27</v>
      </c>
      <c r="D654" s="49">
        <f>3*4</f>
        <v>12</v>
      </c>
      <c r="E654" s="50"/>
      <c r="F654" s="50"/>
      <c r="G654" s="14"/>
    </row>
    <row r="655" spans="1:7" s="5" customFormat="1" ht="12.75">
      <c r="A655" s="29">
        <f t="shared" si="11"/>
        <v>13.054999999999993</v>
      </c>
      <c r="B655" s="47" t="s">
        <v>376</v>
      </c>
      <c r="C655" s="48" t="s">
        <v>27</v>
      </c>
      <c r="D655" s="49">
        <f>5*4</f>
        <v>20</v>
      </c>
      <c r="E655" s="50"/>
      <c r="F655" s="50"/>
      <c r="G655" s="14"/>
    </row>
    <row r="656" spans="1:7" s="5" customFormat="1" ht="12.75">
      <c r="A656" s="29">
        <f t="shared" si="11"/>
        <v>13.055999999999992</v>
      </c>
      <c r="B656" s="47" t="s">
        <v>377</v>
      </c>
      <c r="C656" s="48" t="s">
        <v>27</v>
      </c>
      <c r="D656" s="49">
        <f>8*4</f>
        <v>32</v>
      </c>
      <c r="E656" s="50"/>
      <c r="F656" s="50"/>
      <c r="G656" s="14"/>
    </row>
    <row r="657" spans="1:7" s="5" customFormat="1" ht="12.75">
      <c r="A657" s="29">
        <f t="shared" si="11"/>
        <v>13.056999999999992</v>
      </c>
      <c r="B657" s="47" t="s">
        <v>383</v>
      </c>
      <c r="C657" s="48" t="s">
        <v>13</v>
      </c>
      <c r="D657" s="49">
        <v>4</v>
      </c>
      <c r="E657" s="50"/>
      <c r="F657" s="50"/>
      <c r="G657" s="14"/>
    </row>
    <row r="658" spans="1:7" s="5" customFormat="1" ht="12.75">
      <c r="A658" s="29">
        <f t="shared" si="11"/>
        <v>13.057999999999991</v>
      </c>
      <c r="B658" s="47" t="s">
        <v>593</v>
      </c>
      <c r="C658" s="48" t="s">
        <v>13</v>
      </c>
      <c r="D658" s="49">
        <v>4</v>
      </c>
      <c r="E658" s="50"/>
      <c r="F658" s="50"/>
      <c r="G658" s="14"/>
    </row>
    <row r="659" spans="1:7" s="5" customFormat="1" ht="12.75">
      <c r="A659" s="29">
        <f t="shared" si="11"/>
        <v>13.05899999999999</v>
      </c>
      <c r="B659" s="47" t="s">
        <v>594</v>
      </c>
      <c r="C659" s="48" t="s">
        <v>13</v>
      </c>
      <c r="D659" s="49">
        <v>4</v>
      </c>
      <c r="E659" s="50"/>
      <c r="F659" s="50"/>
      <c r="G659" s="14"/>
    </row>
    <row r="660" spans="1:7" s="5" customFormat="1" ht="12.75">
      <c r="A660" s="29">
        <f t="shared" si="11"/>
        <v>13.05999999999999</v>
      </c>
      <c r="B660" s="47" t="s">
        <v>596</v>
      </c>
      <c r="C660" s="48" t="s">
        <v>13</v>
      </c>
      <c r="D660" s="49">
        <f>3*4</f>
        <v>12</v>
      </c>
      <c r="E660" s="50"/>
      <c r="F660" s="50"/>
      <c r="G660" s="14"/>
    </row>
    <row r="661" spans="1:7" s="5" customFormat="1" ht="15">
      <c r="A661" s="29"/>
      <c r="B661" s="21" t="s">
        <v>327</v>
      </c>
      <c r="C661" s="48"/>
      <c r="D661" s="49"/>
      <c r="E661" s="50"/>
      <c r="F661" s="50"/>
      <c r="G661" s="14"/>
    </row>
    <row r="662" spans="1:7" s="5" customFormat="1" ht="12.75">
      <c r="A662" s="29">
        <v>13.061</v>
      </c>
      <c r="B662" s="47" t="s">
        <v>597</v>
      </c>
      <c r="C662" s="48" t="s">
        <v>13</v>
      </c>
      <c r="D662" s="49">
        <v>32</v>
      </c>
      <c r="E662" s="50"/>
      <c r="F662" s="50"/>
      <c r="G662" s="14"/>
    </row>
    <row r="663" spans="1:7" s="5" customFormat="1" ht="12.75">
      <c r="A663" s="29">
        <f aca="true" t="shared" si="12" ref="A663:A668">+A662+0.001</f>
        <v>13.062</v>
      </c>
      <c r="B663" s="47" t="s">
        <v>332</v>
      </c>
      <c r="C663" s="48" t="s">
        <v>13</v>
      </c>
      <c r="D663" s="49">
        <v>8</v>
      </c>
      <c r="E663" s="50"/>
      <c r="F663" s="50"/>
      <c r="G663" s="14"/>
    </row>
    <row r="664" spans="1:7" s="5" customFormat="1" ht="12.75">
      <c r="A664" s="29">
        <f t="shared" si="12"/>
        <v>13.062999999999999</v>
      </c>
      <c r="B664" s="47" t="s">
        <v>401</v>
      </c>
      <c r="C664" s="48" t="s">
        <v>13</v>
      </c>
      <c r="D664" s="49">
        <v>4</v>
      </c>
      <c r="E664" s="50"/>
      <c r="F664" s="50"/>
      <c r="G664" s="14"/>
    </row>
    <row r="665" spans="1:7" s="5" customFormat="1" ht="12.75">
      <c r="A665" s="29">
        <f t="shared" si="12"/>
        <v>13.063999999999998</v>
      </c>
      <c r="B665" s="47" t="s">
        <v>611</v>
      </c>
      <c r="C665" s="48" t="s">
        <v>13</v>
      </c>
      <c r="D665" s="49">
        <v>8</v>
      </c>
      <c r="E665" s="50"/>
      <c r="F665" s="50"/>
      <c r="G665" s="14"/>
    </row>
    <row r="666" spans="1:7" s="5" customFormat="1" ht="12.75">
      <c r="A666" s="29">
        <f t="shared" si="12"/>
        <v>13.064999999999998</v>
      </c>
      <c r="B666" s="47" t="s">
        <v>617</v>
      </c>
      <c r="C666" s="48" t="s">
        <v>13</v>
      </c>
      <c r="D666" s="49">
        <v>4</v>
      </c>
      <c r="E666" s="50"/>
      <c r="F666" s="50"/>
      <c r="G666" s="14"/>
    </row>
    <row r="667" spans="1:7" s="5" customFormat="1" ht="12.75">
      <c r="A667" s="29">
        <f t="shared" si="12"/>
        <v>13.065999999999997</v>
      </c>
      <c r="B667" s="47" t="s">
        <v>329</v>
      </c>
      <c r="C667" s="48" t="s">
        <v>13</v>
      </c>
      <c r="D667" s="49">
        <f>+D662</f>
        <v>32</v>
      </c>
      <c r="E667" s="50"/>
      <c r="F667" s="50"/>
      <c r="G667" s="14"/>
    </row>
    <row r="668" spans="1:7" s="5" customFormat="1" ht="12.75">
      <c r="A668" s="29">
        <f t="shared" si="12"/>
        <v>13.066999999999997</v>
      </c>
      <c r="B668" s="47" t="s">
        <v>334</v>
      </c>
      <c r="C668" s="48" t="s">
        <v>159</v>
      </c>
      <c r="D668" s="49">
        <f>439.74*10.76</f>
        <v>4731.6024</v>
      </c>
      <c r="E668" s="50"/>
      <c r="F668" s="50"/>
      <c r="G668" s="14"/>
    </row>
    <row r="669" spans="1:7" s="5" customFormat="1" ht="15">
      <c r="A669" s="29"/>
      <c r="B669" s="21" t="s">
        <v>603</v>
      </c>
      <c r="C669" s="48"/>
      <c r="D669" s="49"/>
      <c r="E669" s="50"/>
      <c r="F669" s="50"/>
      <c r="G669" s="14"/>
    </row>
    <row r="670" spans="1:7" s="5" customFormat="1" ht="12.75">
      <c r="A670" s="29">
        <v>13.066</v>
      </c>
      <c r="B670" s="47" t="s">
        <v>584</v>
      </c>
      <c r="C670" s="48" t="s">
        <v>11</v>
      </c>
      <c r="D670" s="49">
        <v>234.1</v>
      </c>
      <c r="E670" s="50"/>
      <c r="F670" s="50"/>
      <c r="G670" s="14"/>
    </row>
    <row r="671" spans="1:7" s="5" customFormat="1" ht="15">
      <c r="A671" s="29"/>
      <c r="B671" s="21" t="s">
        <v>583</v>
      </c>
      <c r="C671" s="48"/>
      <c r="D671" s="49"/>
      <c r="E671" s="50"/>
      <c r="F671" s="50"/>
      <c r="G671" s="14"/>
    </row>
    <row r="672" spans="1:7" s="5" customFormat="1" ht="12.75">
      <c r="A672" s="29">
        <v>13.067</v>
      </c>
      <c r="B672" s="47" t="s">
        <v>585</v>
      </c>
      <c r="C672" s="48" t="s">
        <v>11</v>
      </c>
      <c r="D672" s="49">
        <v>80</v>
      </c>
      <c r="E672" s="50"/>
      <c r="F672" s="50"/>
      <c r="G672" s="14"/>
    </row>
    <row r="673" spans="1:7" s="5" customFormat="1" ht="12.75">
      <c r="A673" s="29">
        <f t="shared" si="11"/>
        <v>13.068</v>
      </c>
      <c r="B673" s="47" t="s">
        <v>586</v>
      </c>
      <c r="C673" s="48" t="s">
        <v>11</v>
      </c>
      <c r="D673" s="49">
        <f>16*3.5</f>
        <v>56</v>
      </c>
      <c r="E673" s="50"/>
      <c r="F673" s="50"/>
      <c r="G673" s="14"/>
    </row>
    <row r="674" spans="1:7" s="5" customFormat="1" ht="12.75">
      <c r="A674" s="29">
        <f t="shared" si="11"/>
        <v>13.068999999999999</v>
      </c>
      <c r="B674" s="47" t="s">
        <v>587</v>
      </c>
      <c r="C674" s="48" t="s">
        <v>10</v>
      </c>
      <c r="D674" s="49">
        <f>3.75*2.04*4</f>
        <v>30.6</v>
      </c>
      <c r="E674" s="50"/>
      <c r="F674" s="50"/>
      <c r="G674" s="14"/>
    </row>
    <row r="675" spans="1:7" s="5" customFormat="1" ht="12.75">
      <c r="A675" s="29">
        <f t="shared" si="11"/>
        <v>13.069999999999999</v>
      </c>
      <c r="B675" s="47" t="s">
        <v>588</v>
      </c>
      <c r="C675" s="48" t="s">
        <v>11</v>
      </c>
      <c r="D675" s="49">
        <f>6.5*4</f>
        <v>26</v>
      </c>
      <c r="E675" s="50"/>
      <c r="F675" s="50"/>
      <c r="G675" s="14"/>
    </row>
    <row r="676" spans="1:7" s="5" customFormat="1" ht="15">
      <c r="A676" s="29"/>
      <c r="B676" s="21" t="s">
        <v>339</v>
      </c>
      <c r="C676" s="48"/>
      <c r="D676" s="49"/>
      <c r="E676" s="50"/>
      <c r="F676" s="50"/>
      <c r="G676" s="14"/>
    </row>
    <row r="677" spans="1:7" s="5" customFormat="1" ht="12.75">
      <c r="A677" s="29">
        <v>13.071</v>
      </c>
      <c r="B677" s="47" t="s">
        <v>342</v>
      </c>
      <c r="C677" s="48" t="s">
        <v>10</v>
      </c>
      <c r="D677" s="49">
        <v>2822.64</v>
      </c>
      <c r="E677" s="50"/>
      <c r="F677" s="50"/>
      <c r="G677" s="14"/>
    </row>
    <row r="678" spans="1:7" s="5" customFormat="1" ht="12.75">
      <c r="A678" s="29">
        <f>+A677+0.001</f>
        <v>13.072</v>
      </c>
      <c r="B678" s="47" t="s">
        <v>340</v>
      </c>
      <c r="C678" s="48" t="s">
        <v>10</v>
      </c>
      <c r="D678" s="49">
        <f>+D677*0.586</f>
        <v>1654.06704</v>
      </c>
      <c r="E678" s="50"/>
      <c r="F678" s="50"/>
      <c r="G678" s="14"/>
    </row>
    <row r="679" spans="1:7" s="5" customFormat="1" ht="12.75">
      <c r="A679" s="29">
        <f>+A678+0.001</f>
        <v>13.072999999999999</v>
      </c>
      <c r="B679" s="47" t="s">
        <v>341</v>
      </c>
      <c r="C679" s="48" t="s">
        <v>10</v>
      </c>
      <c r="D679" s="49">
        <f>+D677*0.412</f>
        <v>1162.9276799999998</v>
      </c>
      <c r="E679" s="50"/>
      <c r="F679" s="50"/>
      <c r="G679" s="14"/>
    </row>
    <row r="680" spans="1:7" s="5" customFormat="1" ht="13.5" thickBot="1">
      <c r="A680" s="29"/>
      <c r="B680" s="47"/>
      <c r="C680" s="48"/>
      <c r="D680" s="49"/>
      <c r="E680" s="50"/>
      <c r="F680" s="50"/>
      <c r="G680" s="14"/>
    </row>
    <row r="681" spans="1:7" s="5" customFormat="1" ht="13.5" thickBot="1">
      <c r="A681" s="29"/>
      <c r="B681" s="6"/>
      <c r="C681" s="23"/>
      <c r="D681" s="10"/>
      <c r="E681" s="71" t="str">
        <f>+B416</f>
        <v>MODULO DE AULAS </v>
      </c>
      <c r="F681" s="72"/>
      <c r="G681" s="16">
        <f>SUM(F416:F679)</f>
        <v>0</v>
      </c>
    </row>
    <row r="682" spans="1:7" s="5" customFormat="1" ht="15.75" thickBot="1">
      <c r="A682" s="29"/>
      <c r="B682" s="41"/>
      <c r="C682" s="44"/>
      <c r="D682" s="45"/>
      <c r="E682" s="45"/>
      <c r="F682" s="45"/>
      <c r="G682" s="43"/>
    </row>
    <row r="683" spans="1:7" s="5" customFormat="1" ht="16.5" thickBot="1">
      <c r="A683" s="28">
        <v>14</v>
      </c>
      <c r="B683" s="61" t="s">
        <v>604</v>
      </c>
      <c r="C683" s="23"/>
      <c r="D683" s="10"/>
      <c r="E683" s="13"/>
      <c r="F683" s="13"/>
      <c r="G683" s="14"/>
    </row>
    <row r="684" spans="1:7" s="5" customFormat="1" ht="12.75">
      <c r="A684" s="29">
        <f>+A683+0.001</f>
        <v>14.001</v>
      </c>
      <c r="B684" s="6" t="s">
        <v>397</v>
      </c>
      <c r="C684" s="23" t="s">
        <v>10</v>
      </c>
      <c r="D684" s="10">
        <v>228</v>
      </c>
      <c r="E684" s="13"/>
      <c r="F684" s="13"/>
      <c r="G684" s="14"/>
    </row>
    <row r="685" spans="1:7" s="5" customFormat="1" ht="15">
      <c r="A685" s="29"/>
      <c r="B685" s="21" t="s">
        <v>265</v>
      </c>
      <c r="C685" s="23"/>
      <c r="D685" s="10"/>
      <c r="E685" s="13"/>
      <c r="F685" s="13"/>
      <c r="G685" s="14"/>
    </row>
    <row r="686" spans="1:7" s="5" customFormat="1" ht="12.75">
      <c r="A686" s="29">
        <v>14.002</v>
      </c>
      <c r="B686" s="6" t="s">
        <v>605</v>
      </c>
      <c r="C686" s="23" t="s">
        <v>15</v>
      </c>
      <c r="D686" s="10">
        <v>99.27</v>
      </c>
      <c r="E686" s="13"/>
      <c r="F686" s="13"/>
      <c r="G686" s="14"/>
    </row>
    <row r="687" spans="1:7" s="5" customFormat="1" ht="15">
      <c r="A687" s="29"/>
      <c r="B687" s="21" t="s">
        <v>271</v>
      </c>
      <c r="C687" s="23"/>
      <c r="D687" s="10"/>
      <c r="E687" s="13"/>
      <c r="F687" s="13"/>
      <c r="G687" s="14"/>
    </row>
    <row r="688" spans="1:7" s="5" customFormat="1" ht="12.75">
      <c r="A688" s="29">
        <v>14.003</v>
      </c>
      <c r="B688" s="6" t="s">
        <v>429</v>
      </c>
      <c r="C688" s="23" t="s">
        <v>0</v>
      </c>
      <c r="D688" s="10">
        <v>43.27</v>
      </c>
      <c r="E688" s="13"/>
      <c r="F688" s="13"/>
      <c r="G688" s="14"/>
    </row>
    <row r="689" spans="1:7" s="5" customFormat="1" ht="12.75">
      <c r="A689" s="29">
        <f aca="true" t="shared" si="13" ref="A689:A749">+A688+0.001</f>
        <v>14.004</v>
      </c>
      <c r="B689" s="6" t="s">
        <v>606</v>
      </c>
      <c r="C689" s="23" t="s">
        <v>0</v>
      </c>
      <c r="D689" s="10">
        <v>0.6</v>
      </c>
      <c r="E689" s="13"/>
      <c r="F689" s="13"/>
      <c r="G689" s="14"/>
    </row>
    <row r="690" spans="1:7" s="5" customFormat="1" ht="15">
      <c r="A690" s="29"/>
      <c r="B690" s="21" t="s">
        <v>388</v>
      </c>
      <c r="C690" s="23"/>
      <c r="D690" s="10"/>
      <c r="E690" s="13"/>
      <c r="F690" s="13"/>
      <c r="G690" s="14"/>
    </row>
    <row r="691" spans="1:7" s="5" customFormat="1" ht="12.75">
      <c r="A691" s="29">
        <v>14.005</v>
      </c>
      <c r="B691" s="6" t="s">
        <v>278</v>
      </c>
      <c r="C691" s="23" t="s">
        <v>0</v>
      </c>
      <c r="D691" s="10">
        <v>0.2597</v>
      </c>
      <c r="E691" s="13"/>
      <c r="F691" s="13"/>
      <c r="G691" s="14"/>
    </row>
    <row r="692" spans="1:7" s="5" customFormat="1" ht="12.75">
      <c r="A692" s="29">
        <f t="shared" si="13"/>
        <v>14.006</v>
      </c>
      <c r="B692" s="6" t="s">
        <v>430</v>
      </c>
      <c r="C692" s="23" t="s">
        <v>0</v>
      </c>
      <c r="D692" s="10">
        <v>6.36</v>
      </c>
      <c r="E692" s="13"/>
      <c r="F692" s="13"/>
      <c r="G692" s="14"/>
    </row>
    <row r="693" spans="1:7" s="5" customFormat="1" ht="12.75">
      <c r="A693" s="29">
        <f t="shared" si="13"/>
        <v>14.007</v>
      </c>
      <c r="B693" s="6" t="s">
        <v>261</v>
      </c>
      <c r="C693" s="23" t="s">
        <v>0</v>
      </c>
      <c r="D693" s="10">
        <v>0.41552000000000006</v>
      </c>
      <c r="E693" s="13"/>
      <c r="F693" s="13"/>
      <c r="G693" s="14"/>
    </row>
    <row r="694" spans="1:7" s="5" customFormat="1" ht="12.75">
      <c r="A694" s="29">
        <f t="shared" si="13"/>
        <v>14.008</v>
      </c>
      <c r="B694" s="6" t="s">
        <v>607</v>
      </c>
      <c r="C694" s="23" t="s">
        <v>0</v>
      </c>
      <c r="D694" s="10">
        <v>2.29808</v>
      </c>
      <c r="E694" s="13"/>
      <c r="F694" s="13"/>
      <c r="G694" s="14"/>
    </row>
    <row r="695" spans="1:7" s="5" customFormat="1" ht="12.75">
      <c r="A695" s="29">
        <f t="shared" si="13"/>
        <v>14.008999999999999</v>
      </c>
      <c r="B695" s="6" t="s">
        <v>505</v>
      </c>
      <c r="C695" s="23" t="s">
        <v>0</v>
      </c>
      <c r="D695" s="10">
        <v>4.6428</v>
      </c>
      <c r="E695" s="13"/>
      <c r="F695" s="13"/>
      <c r="G695" s="14"/>
    </row>
    <row r="696" spans="1:7" s="5" customFormat="1" ht="12.75">
      <c r="A696" s="29">
        <f t="shared" si="13"/>
        <v>14.009999999999998</v>
      </c>
      <c r="B696" s="6" t="s">
        <v>608</v>
      </c>
      <c r="C696" s="23" t="s">
        <v>0</v>
      </c>
      <c r="D696" s="10">
        <v>1.2826</v>
      </c>
      <c r="E696" s="13"/>
      <c r="F696" s="13"/>
      <c r="G696" s="14"/>
    </row>
    <row r="697" spans="1:7" s="5" customFormat="1" ht="12.75">
      <c r="A697" s="29">
        <f t="shared" si="13"/>
        <v>14.010999999999997</v>
      </c>
      <c r="B697" s="6" t="s">
        <v>435</v>
      </c>
      <c r="C697" s="23" t="s">
        <v>0</v>
      </c>
      <c r="D697" s="10">
        <v>2.7878</v>
      </c>
      <c r="E697" s="13"/>
      <c r="F697" s="13"/>
      <c r="G697" s="14"/>
    </row>
    <row r="698" spans="1:7" s="5" customFormat="1" ht="12.75">
      <c r="A698" s="29">
        <f t="shared" si="13"/>
        <v>14.011999999999997</v>
      </c>
      <c r="B698" s="6" t="s">
        <v>519</v>
      </c>
      <c r="C698" s="23" t="s">
        <v>0</v>
      </c>
      <c r="D698" s="10">
        <v>7.186800000000001</v>
      </c>
      <c r="E698" s="13"/>
      <c r="F698" s="13"/>
      <c r="G698" s="14"/>
    </row>
    <row r="699" spans="1:7" s="5" customFormat="1" ht="12.75">
      <c r="A699" s="29">
        <f t="shared" si="13"/>
        <v>14.012999999999996</v>
      </c>
      <c r="B699" s="47" t="s">
        <v>402</v>
      </c>
      <c r="C699" s="48" t="s">
        <v>0</v>
      </c>
      <c r="D699" s="49">
        <v>12.062800000000001</v>
      </c>
      <c r="E699" s="50"/>
      <c r="F699" s="50"/>
      <c r="G699" s="14"/>
    </row>
    <row r="700" spans="1:7" s="5" customFormat="1" ht="12.75">
      <c r="A700" s="29">
        <f t="shared" si="13"/>
        <v>14.013999999999996</v>
      </c>
      <c r="B700" s="47" t="s">
        <v>609</v>
      </c>
      <c r="C700" s="48" t="s">
        <v>0</v>
      </c>
      <c r="D700" s="49">
        <v>1.1024</v>
      </c>
      <c r="E700" s="50"/>
      <c r="F700" s="50"/>
      <c r="G700" s="14"/>
    </row>
    <row r="701" spans="1:7" s="5" customFormat="1" ht="15">
      <c r="A701" s="29"/>
      <c r="B701" s="21" t="s">
        <v>288</v>
      </c>
      <c r="C701" s="48"/>
      <c r="D701" s="49"/>
      <c r="E701" s="50"/>
      <c r="F701" s="50"/>
      <c r="G701" s="14"/>
    </row>
    <row r="702" spans="1:7" s="5" customFormat="1" ht="12.75">
      <c r="A702" s="29">
        <v>14.015</v>
      </c>
      <c r="B702" s="47" t="s">
        <v>289</v>
      </c>
      <c r="C702" s="48" t="s">
        <v>10</v>
      </c>
      <c r="D702" s="49">
        <v>100.52</v>
      </c>
      <c r="E702" s="50"/>
      <c r="F702" s="50"/>
      <c r="G702" s="14"/>
    </row>
    <row r="703" spans="1:7" s="5" customFormat="1" ht="12.75">
      <c r="A703" s="29">
        <f t="shared" si="13"/>
        <v>14.016</v>
      </c>
      <c r="B703" s="47" t="s">
        <v>290</v>
      </c>
      <c r="C703" s="48" t="s">
        <v>11</v>
      </c>
      <c r="D703" s="49">
        <v>35</v>
      </c>
      <c r="E703" s="50"/>
      <c r="F703" s="50"/>
      <c r="G703" s="14"/>
    </row>
    <row r="704" spans="1:7" s="5" customFormat="1" ht="12.75">
      <c r="A704" s="29">
        <f t="shared" si="13"/>
        <v>14.017</v>
      </c>
      <c r="B704" s="47" t="s">
        <v>291</v>
      </c>
      <c r="C704" s="48" t="s">
        <v>10</v>
      </c>
      <c r="D704" s="49">
        <f>+D702</f>
        <v>100.52</v>
      </c>
      <c r="E704" s="50"/>
      <c r="F704" s="50"/>
      <c r="G704" s="14"/>
    </row>
    <row r="705" spans="1:7" s="5" customFormat="1" ht="12.75">
      <c r="A705" s="29">
        <f t="shared" si="13"/>
        <v>14.017999999999999</v>
      </c>
      <c r="B705" s="47" t="s">
        <v>400</v>
      </c>
      <c r="C705" s="48" t="s">
        <v>11</v>
      </c>
      <c r="D705" s="49">
        <f>3*2*3.28</f>
        <v>19.68</v>
      </c>
      <c r="E705" s="50"/>
      <c r="F705" s="50"/>
      <c r="G705" s="14"/>
    </row>
    <row r="706" spans="1:7" s="5" customFormat="1" ht="15">
      <c r="A706" s="29"/>
      <c r="B706" s="21" t="s">
        <v>296</v>
      </c>
      <c r="C706" s="48"/>
      <c r="D706" s="49"/>
      <c r="E706" s="50"/>
      <c r="F706" s="50"/>
      <c r="G706" s="14"/>
    </row>
    <row r="707" spans="1:7" s="5" customFormat="1" ht="12.75">
      <c r="A707" s="29">
        <v>14.019</v>
      </c>
      <c r="B707" s="47" t="s">
        <v>297</v>
      </c>
      <c r="C707" s="48" t="s">
        <v>10</v>
      </c>
      <c r="D707" s="49">
        <v>33.2</v>
      </c>
      <c r="E707" s="50"/>
      <c r="F707" s="50"/>
      <c r="G707" s="14"/>
    </row>
    <row r="708" spans="1:7" s="5" customFormat="1" ht="12.75">
      <c r="A708" s="29">
        <f t="shared" si="13"/>
        <v>14.02</v>
      </c>
      <c r="B708" s="47" t="s">
        <v>298</v>
      </c>
      <c r="C708" s="48" t="s">
        <v>10</v>
      </c>
      <c r="D708" s="49">
        <v>119.85</v>
      </c>
      <c r="E708" s="13"/>
      <c r="F708" s="50"/>
      <c r="G708" s="14"/>
    </row>
    <row r="709" spans="1:7" s="5" customFormat="1" ht="15">
      <c r="A709" s="29"/>
      <c r="B709" s="21" t="s">
        <v>292</v>
      </c>
      <c r="C709" s="48"/>
      <c r="D709" s="49"/>
      <c r="E709" s="50"/>
      <c r="F709" s="50"/>
      <c r="G709" s="14"/>
    </row>
    <row r="710" spans="1:7" s="5" customFormat="1" ht="12.75">
      <c r="A710" s="29">
        <v>14.021</v>
      </c>
      <c r="B710" s="47" t="s">
        <v>262</v>
      </c>
      <c r="C710" s="48" t="s">
        <v>10</v>
      </c>
      <c r="D710" s="49">
        <f>SUM(D707:D709)*2</f>
        <v>306.1</v>
      </c>
      <c r="E710" s="50"/>
      <c r="F710" s="50"/>
      <c r="G710" s="14"/>
    </row>
    <row r="711" spans="1:7" s="5" customFormat="1" ht="12.75">
      <c r="A711" s="29">
        <f t="shared" si="13"/>
        <v>14.022</v>
      </c>
      <c r="B711" s="47" t="s">
        <v>293</v>
      </c>
      <c r="C711" s="48" t="s">
        <v>10</v>
      </c>
      <c r="D711" s="49">
        <f>+D710</f>
        <v>306.1</v>
      </c>
      <c r="E711" s="50"/>
      <c r="F711" s="50"/>
      <c r="G711" s="14"/>
    </row>
    <row r="712" spans="1:7" s="5" customFormat="1" ht="12.75">
      <c r="A712" s="29">
        <f t="shared" si="13"/>
        <v>14.023</v>
      </c>
      <c r="B712" s="51" t="s">
        <v>309</v>
      </c>
      <c r="C712" s="48" t="s">
        <v>11</v>
      </c>
      <c r="D712" s="49">
        <v>118</v>
      </c>
      <c r="E712" s="50"/>
      <c r="F712" s="50"/>
      <c r="G712" s="14"/>
    </row>
    <row r="713" spans="1:7" s="5" customFormat="1" ht="12.75">
      <c r="A713" s="29">
        <f t="shared" si="13"/>
        <v>14.024</v>
      </c>
      <c r="B713" s="47" t="s">
        <v>294</v>
      </c>
      <c r="C713" s="48" t="s">
        <v>10</v>
      </c>
      <c r="D713" s="49">
        <v>46.62</v>
      </c>
      <c r="E713" s="50"/>
      <c r="F713" s="50"/>
      <c r="G713" s="14"/>
    </row>
    <row r="714" spans="1:7" s="5" customFormat="1" ht="12.75">
      <c r="A714" s="29">
        <f t="shared" si="13"/>
        <v>14.024999999999999</v>
      </c>
      <c r="B714" s="47" t="s">
        <v>299</v>
      </c>
      <c r="C714" s="48" t="s">
        <v>10</v>
      </c>
      <c r="D714" s="49">
        <f>79.05*0.25</f>
        <v>19.7625</v>
      </c>
      <c r="E714" s="50"/>
      <c r="F714" s="50"/>
      <c r="G714" s="14"/>
    </row>
    <row r="715" spans="1:7" s="5" customFormat="1" ht="12.75">
      <c r="A715" s="29">
        <f t="shared" si="13"/>
        <v>14.025999999999998</v>
      </c>
      <c r="B715" s="47" t="s">
        <v>582</v>
      </c>
      <c r="C715" s="48" t="s">
        <v>11</v>
      </c>
      <c r="D715" s="49">
        <v>158</v>
      </c>
      <c r="E715" s="50"/>
      <c r="F715" s="50"/>
      <c r="G715" s="14"/>
    </row>
    <row r="716" spans="1:7" s="5" customFormat="1" ht="15">
      <c r="A716" s="29"/>
      <c r="B716" s="21" t="s">
        <v>316</v>
      </c>
      <c r="C716" s="48"/>
      <c r="D716" s="49"/>
      <c r="E716" s="50"/>
      <c r="F716" s="50"/>
      <c r="G716" s="14"/>
    </row>
    <row r="717" spans="1:7" s="5" customFormat="1" ht="12.75">
      <c r="A717" s="29">
        <v>14.027</v>
      </c>
      <c r="B717" s="47" t="s">
        <v>317</v>
      </c>
      <c r="C717" s="48" t="s">
        <v>10</v>
      </c>
      <c r="D717" s="49">
        <v>141.5</v>
      </c>
      <c r="E717" s="50"/>
      <c r="F717" s="50"/>
      <c r="G717" s="14"/>
    </row>
    <row r="718" spans="1:7" s="5" customFormat="1" ht="12.75">
      <c r="A718" s="29">
        <f t="shared" si="13"/>
        <v>14.027999999999999</v>
      </c>
      <c r="B718" s="47" t="s">
        <v>359</v>
      </c>
      <c r="C718" s="48" t="s">
        <v>11</v>
      </c>
      <c r="D718" s="49">
        <f>6.85*5</f>
        <v>34.25</v>
      </c>
      <c r="E718" s="50"/>
      <c r="F718" s="50"/>
      <c r="G718" s="14"/>
    </row>
    <row r="719" spans="1:7" s="5" customFormat="1" ht="12.75">
      <c r="A719" s="29">
        <f t="shared" si="13"/>
        <v>14.028999999999998</v>
      </c>
      <c r="B719" s="47" t="s">
        <v>358</v>
      </c>
      <c r="C719" s="48" t="s">
        <v>11</v>
      </c>
      <c r="D719" s="49">
        <v>43.5</v>
      </c>
      <c r="E719" s="50"/>
      <c r="F719" s="50"/>
      <c r="G719" s="14"/>
    </row>
    <row r="720" spans="1:7" s="5" customFormat="1" ht="12.75">
      <c r="A720" s="29">
        <f t="shared" si="13"/>
        <v>14.029999999999998</v>
      </c>
      <c r="B720" s="47" t="s">
        <v>320</v>
      </c>
      <c r="C720" s="48" t="s">
        <v>11</v>
      </c>
      <c r="D720" s="49">
        <f>9*4</f>
        <v>36</v>
      </c>
      <c r="E720" s="50"/>
      <c r="F720" s="50"/>
      <c r="G720" s="14"/>
    </row>
    <row r="721" spans="1:7" s="5" customFormat="1" ht="12.75">
      <c r="A721" s="29">
        <f t="shared" si="13"/>
        <v>14.030999999999997</v>
      </c>
      <c r="B721" s="47" t="s">
        <v>318</v>
      </c>
      <c r="C721" s="48" t="s">
        <v>319</v>
      </c>
      <c r="D721" s="49">
        <v>1</v>
      </c>
      <c r="E721" s="50"/>
      <c r="F721" s="50"/>
      <c r="G721" s="14"/>
    </row>
    <row r="722" spans="1:7" s="5" customFormat="1" ht="15">
      <c r="A722" s="29"/>
      <c r="B722" s="21" t="s">
        <v>322</v>
      </c>
      <c r="C722" s="48"/>
      <c r="D722" s="49"/>
      <c r="E722" s="50"/>
      <c r="F722" s="50"/>
      <c r="G722" s="14"/>
    </row>
    <row r="723" spans="1:7" s="5" customFormat="1" ht="12.75">
      <c r="A723" s="29">
        <v>14.032</v>
      </c>
      <c r="B723" s="47" t="s">
        <v>325</v>
      </c>
      <c r="C723" s="48" t="s">
        <v>10</v>
      </c>
      <c r="D723" s="49">
        <v>174.58</v>
      </c>
      <c r="E723" s="50"/>
      <c r="F723" s="50"/>
      <c r="G723" s="14"/>
    </row>
    <row r="724" spans="1:7" s="5" customFormat="1" ht="12.75">
      <c r="A724" s="29">
        <f t="shared" si="13"/>
        <v>14.033</v>
      </c>
      <c r="B724" s="47" t="s">
        <v>323</v>
      </c>
      <c r="C724" s="48" t="s">
        <v>11</v>
      </c>
      <c r="D724" s="49">
        <v>85</v>
      </c>
      <c r="E724" s="50"/>
      <c r="F724" s="50"/>
      <c r="G724" s="14"/>
    </row>
    <row r="725" spans="1:7" s="5" customFormat="1" ht="12.75">
      <c r="A725" s="29">
        <f t="shared" si="13"/>
        <v>14.033999999999999</v>
      </c>
      <c r="B725" s="47" t="s">
        <v>326</v>
      </c>
      <c r="C725" s="48" t="s">
        <v>10</v>
      </c>
      <c r="D725" s="49">
        <f>+D723</f>
        <v>174.58</v>
      </c>
      <c r="E725" s="50"/>
      <c r="F725" s="50"/>
      <c r="G725" s="14"/>
    </row>
    <row r="726" spans="1:7" s="5" customFormat="1" ht="12.75">
      <c r="A726" s="29">
        <f t="shared" si="13"/>
        <v>14.034999999999998</v>
      </c>
      <c r="B726" s="47" t="s">
        <v>324</v>
      </c>
      <c r="C726" s="48" t="s">
        <v>11</v>
      </c>
      <c r="D726" s="49">
        <v>79.14</v>
      </c>
      <c r="E726" s="50"/>
      <c r="F726" s="50"/>
      <c r="G726" s="14"/>
    </row>
    <row r="727" spans="1:7" s="5" customFormat="1" ht="15">
      <c r="A727" s="29"/>
      <c r="B727" s="21" t="s">
        <v>363</v>
      </c>
      <c r="C727" s="48"/>
      <c r="D727" s="49"/>
      <c r="E727" s="50"/>
      <c r="F727" s="50"/>
      <c r="G727" s="14"/>
    </row>
    <row r="728" spans="1:7" s="5" customFormat="1" ht="12.75">
      <c r="A728" s="29">
        <v>14.036</v>
      </c>
      <c r="B728" s="47" t="s">
        <v>599</v>
      </c>
      <c r="C728" s="48" t="s">
        <v>12</v>
      </c>
      <c r="D728" s="49">
        <v>1</v>
      </c>
      <c r="E728" s="50"/>
      <c r="F728" s="50"/>
      <c r="G728" s="14"/>
    </row>
    <row r="729" spans="1:7" s="5" customFormat="1" ht="12.75">
      <c r="A729" s="29">
        <f t="shared" si="13"/>
        <v>14.036999999999999</v>
      </c>
      <c r="B729" s="47" t="s">
        <v>380</v>
      </c>
      <c r="C729" s="48" t="s">
        <v>12</v>
      </c>
      <c r="D729" s="49">
        <v>1</v>
      </c>
      <c r="E729" s="50"/>
      <c r="F729" s="50"/>
      <c r="G729" s="14"/>
    </row>
    <row r="730" spans="1:7" s="5" customFormat="1" ht="12.75">
      <c r="A730" s="29">
        <f t="shared" si="13"/>
        <v>14.037999999999998</v>
      </c>
      <c r="B730" s="47" t="s">
        <v>381</v>
      </c>
      <c r="C730" s="48" t="s">
        <v>12</v>
      </c>
      <c r="D730" s="49">
        <v>1</v>
      </c>
      <c r="E730" s="50"/>
      <c r="F730" s="50"/>
      <c r="G730" s="14"/>
    </row>
    <row r="731" spans="1:7" s="5" customFormat="1" ht="25.5">
      <c r="A731" s="29">
        <f t="shared" si="13"/>
        <v>14.038999999999998</v>
      </c>
      <c r="B731" s="47" t="s">
        <v>403</v>
      </c>
      <c r="C731" s="48" t="s">
        <v>27</v>
      </c>
      <c r="D731" s="49">
        <v>2</v>
      </c>
      <c r="E731" s="50"/>
      <c r="F731" s="50"/>
      <c r="G731" s="14"/>
    </row>
    <row r="732" spans="1:7" s="5" customFormat="1" ht="12.75">
      <c r="A732" s="29">
        <f t="shared" si="13"/>
        <v>14.039999999999997</v>
      </c>
      <c r="B732" s="47" t="s">
        <v>368</v>
      </c>
      <c r="C732" s="48" t="s">
        <v>364</v>
      </c>
      <c r="D732" s="49">
        <f>1.45*2*3.28</f>
        <v>9.511999999999999</v>
      </c>
      <c r="E732" s="50"/>
      <c r="F732" s="50"/>
      <c r="G732" s="14"/>
    </row>
    <row r="733" spans="1:7" s="5" customFormat="1" ht="25.5">
      <c r="A733" s="29">
        <f t="shared" si="13"/>
        <v>14.040999999999997</v>
      </c>
      <c r="B733" s="47" t="s">
        <v>371</v>
      </c>
      <c r="C733" s="48" t="s">
        <v>27</v>
      </c>
      <c r="D733" s="49">
        <v>2</v>
      </c>
      <c r="E733" s="50"/>
      <c r="F733" s="50"/>
      <c r="G733" s="14"/>
    </row>
    <row r="734" spans="1:7" s="5" customFormat="1" ht="12.75">
      <c r="A734" s="29">
        <f t="shared" si="13"/>
        <v>14.041999999999996</v>
      </c>
      <c r="B734" s="47" t="s">
        <v>367</v>
      </c>
      <c r="C734" s="48" t="s">
        <v>27</v>
      </c>
      <c r="D734" s="49">
        <v>2</v>
      </c>
      <c r="E734" s="50"/>
      <c r="F734" s="50"/>
      <c r="G734" s="14"/>
    </row>
    <row r="735" spans="1:7" s="5" customFormat="1" ht="25.5">
      <c r="A735" s="29">
        <f t="shared" si="13"/>
        <v>14.042999999999996</v>
      </c>
      <c r="B735" s="47" t="s">
        <v>366</v>
      </c>
      <c r="C735" s="48" t="s">
        <v>27</v>
      </c>
      <c r="D735" s="49">
        <v>2</v>
      </c>
      <c r="E735" s="50"/>
      <c r="F735" s="50"/>
      <c r="G735" s="14"/>
    </row>
    <row r="736" spans="1:7" s="5" customFormat="1" ht="25.5">
      <c r="A736" s="29">
        <f t="shared" si="13"/>
        <v>14.043999999999995</v>
      </c>
      <c r="B736" s="47" t="s">
        <v>372</v>
      </c>
      <c r="C736" s="48" t="s">
        <v>27</v>
      </c>
      <c r="D736" s="49">
        <v>2</v>
      </c>
      <c r="E736" s="50"/>
      <c r="F736" s="50"/>
      <c r="G736" s="14"/>
    </row>
    <row r="737" spans="1:7" s="5" customFormat="1" ht="12.75">
      <c r="A737" s="29">
        <f t="shared" si="13"/>
        <v>14.044999999999995</v>
      </c>
      <c r="B737" s="47" t="s">
        <v>365</v>
      </c>
      <c r="C737" s="48" t="s">
        <v>27</v>
      </c>
      <c r="D737" s="49">
        <v>2</v>
      </c>
      <c r="E737" s="50"/>
      <c r="F737" s="50"/>
      <c r="G737" s="14"/>
    </row>
    <row r="738" spans="1:7" s="5" customFormat="1" ht="12.75">
      <c r="A738" s="29">
        <f t="shared" si="13"/>
        <v>14.045999999999994</v>
      </c>
      <c r="B738" s="47" t="s">
        <v>374</v>
      </c>
      <c r="C738" s="48" t="s">
        <v>27</v>
      </c>
      <c r="D738" s="49">
        <v>2</v>
      </c>
      <c r="E738" s="50"/>
      <c r="F738" s="50"/>
      <c r="G738" s="14"/>
    </row>
    <row r="739" spans="1:7" s="5" customFormat="1" ht="12.75">
      <c r="A739" s="29">
        <f t="shared" si="13"/>
        <v>14.046999999999993</v>
      </c>
      <c r="B739" s="47" t="s">
        <v>375</v>
      </c>
      <c r="C739" s="48" t="s">
        <v>27</v>
      </c>
      <c r="D739" s="49">
        <v>2</v>
      </c>
      <c r="E739" s="50"/>
      <c r="F739" s="50"/>
      <c r="G739" s="14"/>
    </row>
    <row r="740" spans="1:7" s="5" customFormat="1" ht="12.75">
      <c r="A740" s="29">
        <f t="shared" si="13"/>
        <v>14.047999999999993</v>
      </c>
      <c r="B740" s="47" t="s">
        <v>376</v>
      </c>
      <c r="C740" s="48" t="s">
        <v>27</v>
      </c>
      <c r="D740" s="49">
        <v>2</v>
      </c>
      <c r="E740" s="50"/>
      <c r="F740" s="50"/>
      <c r="G740" s="14"/>
    </row>
    <row r="741" spans="1:7" s="5" customFormat="1" ht="12.75">
      <c r="A741" s="29">
        <f t="shared" si="13"/>
        <v>14.048999999999992</v>
      </c>
      <c r="B741" s="47" t="s">
        <v>377</v>
      </c>
      <c r="C741" s="48" t="s">
        <v>27</v>
      </c>
      <c r="D741" s="49">
        <v>2</v>
      </c>
      <c r="E741" s="50"/>
      <c r="F741" s="50"/>
      <c r="G741" s="14"/>
    </row>
    <row r="742" spans="1:7" s="5" customFormat="1" ht="12.75">
      <c r="A742" s="29">
        <f t="shared" si="13"/>
        <v>14.049999999999992</v>
      </c>
      <c r="B742" s="47" t="s">
        <v>383</v>
      </c>
      <c r="C742" s="48" t="s">
        <v>13</v>
      </c>
      <c r="D742" s="49">
        <v>2</v>
      </c>
      <c r="E742" s="50"/>
      <c r="F742" s="50"/>
      <c r="G742" s="14"/>
    </row>
    <row r="743" spans="1:7" s="5" customFormat="1" ht="12.75">
      <c r="A743" s="29">
        <f t="shared" si="13"/>
        <v>14.050999999999991</v>
      </c>
      <c r="B743" s="47" t="s">
        <v>610</v>
      </c>
      <c r="C743" s="48" t="s">
        <v>13</v>
      </c>
      <c r="D743" s="49">
        <v>2</v>
      </c>
      <c r="E743" s="50"/>
      <c r="F743" s="50"/>
      <c r="G743" s="14"/>
    </row>
    <row r="744" spans="1:7" s="5" customFormat="1" ht="15">
      <c r="A744" s="29"/>
      <c r="B744" s="21" t="s">
        <v>327</v>
      </c>
      <c r="C744" s="48"/>
      <c r="D744" s="49"/>
      <c r="E744" s="50"/>
      <c r="F744" s="50"/>
      <c r="G744" s="14"/>
    </row>
    <row r="745" spans="1:7" s="5" customFormat="1" ht="12.75">
      <c r="A745" s="29">
        <v>14.052</v>
      </c>
      <c r="B745" s="47" t="s">
        <v>330</v>
      </c>
      <c r="C745" s="48" t="s">
        <v>13</v>
      </c>
      <c r="D745" s="49">
        <v>4</v>
      </c>
      <c r="E745" s="50"/>
      <c r="F745" s="50"/>
      <c r="G745" s="14"/>
    </row>
    <row r="746" spans="1:7" s="5" customFormat="1" ht="12.75">
      <c r="A746" s="29">
        <f t="shared" si="13"/>
        <v>14.052999999999999</v>
      </c>
      <c r="B746" s="47" t="s">
        <v>331</v>
      </c>
      <c r="C746" s="48" t="s">
        <v>13</v>
      </c>
      <c r="D746" s="49">
        <v>2</v>
      </c>
      <c r="E746" s="50"/>
      <c r="F746" s="50"/>
      <c r="G746" s="14"/>
    </row>
    <row r="747" spans="1:7" s="5" customFormat="1" ht="12.75">
      <c r="A747" s="29">
        <f t="shared" si="13"/>
        <v>14.053999999999998</v>
      </c>
      <c r="B747" s="47" t="s">
        <v>332</v>
      </c>
      <c r="C747" s="48" t="s">
        <v>13</v>
      </c>
      <c r="D747" s="49">
        <v>2</v>
      </c>
      <c r="E747" s="50"/>
      <c r="F747" s="50"/>
      <c r="G747" s="14"/>
    </row>
    <row r="748" spans="1:7" s="5" customFormat="1" ht="12.75">
      <c r="A748" s="29">
        <f t="shared" si="13"/>
        <v>14.054999999999998</v>
      </c>
      <c r="B748" s="47" t="s">
        <v>401</v>
      </c>
      <c r="C748" s="48" t="s">
        <v>13</v>
      </c>
      <c r="D748" s="49">
        <v>2</v>
      </c>
      <c r="E748" s="50"/>
      <c r="F748" s="50"/>
      <c r="G748" s="14"/>
    </row>
    <row r="749" spans="1:7" s="5" customFormat="1" ht="12.75">
      <c r="A749" s="29">
        <f t="shared" si="13"/>
        <v>14.055999999999997</v>
      </c>
      <c r="B749" s="47" t="s">
        <v>611</v>
      </c>
      <c r="C749" s="48" t="s">
        <v>13</v>
      </c>
      <c r="D749" s="49">
        <v>2</v>
      </c>
      <c r="E749" s="50"/>
      <c r="F749" s="50"/>
      <c r="G749" s="14"/>
    </row>
    <row r="750" spans="1:7" s="5" customFormat="1" ht="12.75">
      <c r="A750" s="29">
        <f>+A748+0.001</f>
        <v>14.055999999999997</v>
      </c>
      <c r="B750" s="47" t="s">
        <v>329</v>
      </c>
      <c r="C750" s="48" t="s">
        <v>13</v>
      </c>
      <c r="D750" s="49">
        <v>4</v>
      </c>
      <c r="E750" s="50"/>
      <c r="F750" s="50"/>
      <c r="G750" s="14"/>
    </row>
    <row r="751" spans="1:7" s="5" customFormat="1" ht="12.75">
      <c r="A751" s="29">
        <f>+A750+0.001</f>
        <v>14.056999999999997</v>
      </c>
      <c r="B751" s="47" t="s">
        <v>334</v>
      </c>
      <c r="C751" s="48" t="s">
        <v>159</v>
      </c>
      <c r="D751" s="49">
        <f>56.7*10.76</f>
        <v>610.092</v>
      </c>
      <c r="E751" s="50"/>
      <c r="F751" s="50"/>
      <c r="G751" s="14"/>
    </row>
    <row r="752" spans="1:7" s="5" customFormat="1" ht="15">
      <c r="A752" s="29"/>
      <c r="B752" s="21" t="s">
        <v>338</v>
      </c>
      <c r="C752" s="48"/>
      <c r="D752" s="49"/>
      <c r="E752" s="50"/>
      <c r="F752" s="50"/>
      <c r="G752" s="14"/>
    </row>
    <row r="753" spans="1:7" s="5" customFormat="1" ht="12.75">
      <c r="A753" s="29">
        <v>14.058</v>
      </c>
      <c r="B753" s="47" t="s">
        <v>336</v>
      </c>
      <c r="C753" s="48" t="s">
        <v>11</v>
      </c>
      <c r="D753" s="49">
        <v>54.6</v>
      </c>
      <c r="E753" s="50"/>
      <c r="F753" s="50"/>
      <c r="G753" s="14"/>
    </row>
    <row r="754" spans="1:7" s="5" customFormat="1" ht="12.75">
      <c r="A754" s="29">
        <f>+A753+0.001</f>
        <v>14.059</v>
      </c>
      <c r="B754" s="47" t="s">
        <v>335</v>
      </c>
      <c r="C754" s="48" t="s">
        <v>16</v>
      </c>
      <c r="D754" s="49">
        <f>+D755*0.3</f>
        <v>19.656</v>
      </c>
      <c r="E754" s="50"/>
      <c r="F754" s="50"/>
      <c r="G754" s="14"/>
    </row>
    <row r="755" spans="1:7" s="5" customFormat="1" ht="12.75">
      <c r="A755" s="29">
        <f>+A754+0.001</f>
        <v>14.059999999999999</v>
      </c>
      <c r="B755" s="47" t="s">
        <v>337</v>
      </c>
      <c r="C755" s="48" t="s">
        <v>10</v>
      </c>
      <c r="D755" s="49">
        <f>54.6*1.2</f>
        <v>65.52</v>
      </c>
      <c r="E755" s="50"/>
      <c r="F755" s="50"/>
      <c r="G755" s="14"/>
    </row>
    <row r="756" spans="1:7" s="5" customFormat="1" ht="15">
      <c r="A756" s="29"/>
      <c r="B756" s="21" t="s">
        <v>339</v>
      </c>
      <c r="C756" s="48"/>
      <c r="D756" s="49"/>
      <c r="E756" s="50"/>
      <c r="F756" s="50"/>
      <c r="G756" s="14"/>
    </row>
    <row r="757" spans="1:7" s="5" customFormat="1" ht="12.75">
      <c r="A757" s="29">
        <v>14.061</v>
      </c>
      <c r="B757" s="47" t="s">
        <v>342</v>
      </c>
      <c r="C757" s="48" t="s">
        <v>10</v>
      </c>
      <c r="D757" s="49">
        <v>184.3</v>
      </c>
      <c r="E757" s="50"/>
      <c r="F757" s="50"/>
      <c r="G757" s="14"/>
    </row>
    <row r="758" spans="1:7" s="5" customFormat="1" ht="12.75">
      <c r="A758" s="29">
        <f>+A757+0.001</f>
        <v>14.062</v>
      </c>
      <c r="B758" s="47" t="s">
        <v>340</v>
      </c>
      <c r="C758" s="48" t="s">
        <v>10</v>
      </c>
      <c r="D758" s="49">
        <f>+D757*0.55</f>
        <v>101.36500000000001</v>
      </c>
      <c r="E758" s="50"/>
      <c r="F758" s="50"/>
      <c r="G758" s="14"/>
    </row>
    <row r="759" spans="1:7" s="5" customFormat="1" ht="12.75">
      <c r="A759" s="29">
        <f>+A758+0.001</f>
        <v>14.062999999999999</v>
      </c>
      <c r="B759" s="47" t="s">
        <v>341</v>
      </c>
      <c r="C759" s="48" t="s">
        <v>10</v>
      </c>
      <c r="D759" s="49">
        <f>+D757*0.45</f>
        <v>82.935</v>
      </c>
      <c r="E759" s="50"/>
      <c r="F759" s="50"/>
      <c r="G759" s="14"/>
    </row>
    <row r="760" spans="1:7" s="5" customFormat="1" ht="13.5" thickBot="1">
      <c r="A760" s="29"/>
      <c r="B760" s="6"/>
      <c r="C760" s="23"/>
      <c r="D760" s="10"/>
      <c r="E760" s="13"/>
      <c r="F760" s="13"/>
      <c r="G760" s="14"/>
    </row>
    <row r="761" spans="1:7" s="5" customFormat="1" ht="13.5" thickBot="1">
      <c r="A761" s="29"/>
      <c r="B761" s="6"/>
      <c r="C761" s="23"/>
      <c r="D761" s="10"/>
      <c r="E761" s="71" t="str">
        <f>+B683</f>
        <v>AULA INICIAL DOBLE </v>
      </c>
      <c r="F761" s="72"/>
      <c r="G761" s="16">
        <f>SUM(F683:F760)</f>
        <v>0</v>
      </c>
    </row>
    <row r="762" spans="1:7" s="5" customFormat="1" ht="16.5" thickBot="1">
      <c r="A762" s="29">
        <v>15</v>
      </c>
      <c r="B762" s="61" t="s">
        <v>385</v>
      </c>
      <c r="C762" s="44"/>
      <c r="D762" s="45"/>
      <c r="E762" s="45"/>
      <c r="F762" s="45"/>
      <c r="G762" s="43"/>
    </row>
    <row r="763" spans="1:7" s="5" customFormat="1" ht="15">
      <c r="A763" s="29">
        <v>15.001</v>
      </c>
      <c r="B763" s="41" t="s">
        <v>612</v>
      </c>
      <c r="C763" s="44" t="s">
        <v>13</v>
      </c>
      <c r="D763" s="45">
        <v>16</v>
      </c>
      <c r="E763" s="45"/>
      <c r="F763" s="45"/>
      <c r="G763" s="43"/>
    </row>
    <row r="764" spans="1:7" s="5" customFormat="1" ht="15.75" thickBot="1">
      <c r="A764" s="29">
        <v>15.002</v>
      </c>
      <c r="B764" s="41" t="s">
        <v>613</v>
      </c>
      <c r="C764" s="44" t="s">
        <v>10</v>
      </c>
      <c r="D764" s="45">
        <v>61.44</v>
      </c>
      <c r="E764" s="45"/>
      <c r="F764" s="45"/>
      <c r="G764" s="43"/>
    </row>
    <row r="765" spans="1:7" s="5" customFormat="1" ht="15.75" thickBot="1">
      <c r="A765" s="29"/>
      <c r="B765" s="41"/>
      <c r="C765" s="44"/>
      <c r="D765" s="45"/>
      <c r="E765" s="71" t="str">
        <f>+B762</f>
        <v>MISCELANEOS </v>
      </c>
      <c r="F765" s="72"/>
      <c r="G765" s="16">
        <f>SUM(F763:F764)</f>
        <v>0</v>
      </c>
    </row>
    <row r="766" spans="1:7" s="5" customFormat="1" ht="12.75">
      <c r="A766" s="29"/>
      <c r="B766" s="6"/>
      <c r="C766" s="23"/>
      <c r="D766" s="10"/>
      <c r="E766" s="13"/>
      <c r="F766" s="13"/>
      <c r="G766" s="14"/>
    </row>
    <row r="767" spans="1:7" s="5" customFormat="1" ht="13.5" thickBot="1">
      <c r="A767" s="29"/>
      <c r="B767" s="6"/>
      <c r="C767" s="23"/>
      <c r="D767" s="10"/>
      <c r="E767" s="13"/>
      <c r="F767" s="13"/>
      <c r="G767" s="14"/>
    </row>
    <row r="768" spans="1:7" s="5" customFormat="1" ht="15.75" thickBot="1">
      <c r="A768" s="28">
        <v>10</v>
      </c>
      <c r="B768" s="66" t="s">
        <v>343</v>
      </c>
      <c r="C768" s="23"/>
      <c r="D768" s="10"/>
      <c r="E768" s="13"/>
      <c r="F768" s="13"/>
      <c r="G768" s="14"/>
    </row>
    <row r="769" spans="1:7" s="5" customFormat="1" ht="12.75">
      <c r="A769" s="29">
        <f>+A768+0.001</f>
        <v>10.001</v>
      </c>
      <c r="B769" s="6" t="s">
        <v>396</v>
      </c>
      <c r="C769" s="23" t="s">
        <v>10</v>
      </c>
      <c r="D769" s="10">
        <f>19*12</f>
        <v>228</v>
      </c>
      <c r="E769" s="13"/>
      <c r="F769" s="13"/>
      <c r="G769" s="14"/>
    </row>
    <row r="770" spans="1:7" s="5" customFormat="1" ht="15">
      <c r="A770" s="29"/>
      <c r="B770" s="21" t="s">
        <v>265</v>
      </c>
      <c r="C770" s="23"/>
      <c r="D770" s="10"/>
      <c r="E770" s="13"/>
      <c r="F770" s="13"/>
      <c r="G770" s="14"/>
    </row>
    <row r="771" spans="1:7" s="5" customFormat="1" ht="12.75">
      <c r="A771" s="29">
        <f>+A769+0.001</f>
        <v>10.001999999999999</v>
      </c>
      <c r="B771" s="6" t="s">
        <v>266</v>
      </c>
      <c r="C771" s="23" t="s">
        <v>15</v>
      </c>
      <c r="D771" s="10">
        <f>3.45*2+(1.5*2)+(1*4)</f>
        <v>13.9</v>
      </c>
      <c r="E771" s="13"/>
      <c r="F771" s="13"/>
      <c r="G771" s="14"/>
    </row>
    <row r="772" spans="1:7" s="5" customFormat="1" ht="12.75">
      <c r="A772" s="29">
        <f>+A771+0.001</f>
        <v>10.002999999999998</v>
      </c>
      <c r="B772" s="6" t="s">
        <v>264</v>
      </c>
      <c r="C772" s="23" t="s">
        <v>15</v>
      </c>
      <c r="D772" s="10">
        <f>102.62*0.2</f>
        <v>20.524</v>
      </c>
      <c r="E772" s="13"/>
      <c r="F772" s="13"/>
      <c r="G772" s="14"/>
    </row>
    <row r="773" spans="1:7" s="5" customFormat="1" ht="12.75">
      <c r="A773" s="29">
        <f aca="true" t="shared" si="14" ref="A773:A836">+A772+0.001</f>
        <v>10.003999999999998</v>
      </c>
      <c r="B773" s="6" t="s">
        <v>267</v>
      </c>
      <c r="C773" s="23" t="s">
        <v>15</v>
      </c>
      <c r="D773" s="10">
        <f>1*1*1*2</f>
        <v>2</v>
      </c>
      <c r="E773" s="13"/>
      <c r="F773" s="13"/>
      <c r="G773" s="14"/>
    </row>
    <row r="774" spans="1:7" s="5" customFormat="1" ht="12.75">
      <c r="A774" s="29">
        <f t="shared" si="14"/>
        <v>10.004999999999997</v>
      </c>
      <c r="B774" s="6" t="s">
        <v>268</v>
      </c>
      <c r="C774" s="23" t="s">
        <v>15</v>
      </c>
      <c r="D774" s="10">
        <f>1.3*1.3*2</f>
        <v>3.3800000000000003</v>
      </c>
      <c r="E774" s="13"/>
      <c r="F774" s="13"/>
      <c r="G774" s="14"/>
    </row>
    <row r="775" spans="1:7" s="5" customFormat="1" ht="12.75">
      <c r="A775" s="29">
        <f t="shared" si="14"/>
        <v>10.005999999999997</v>
      </c>
      <c r="B775" s="6" t="s">
        <v>269</v>
      </c>
      <c r="C775" s="23" t="s">
        <v>50</v>
      </c>
      <c r="D775" s="10">
        <f>SUM(D771:D774)*1.35</f>
        <v>53.735400000000006</v>
      </c>
      <c r="E775" s="13"/>
      <c r="F775" s="13"/>
      <c r="G775" s="14"/>
    </row>
    <row r="776" spans="1:7" s="5" customFormat="1" ht="12.75">
      <c r="A776" s="29">
        <f t="shared" si="14"/>
        <v>10.006999999999996</v>
      </c>
      <c r="B776" s="6" t="s">
        <v>270</v>
      </c>
      <c r="C776" s="23" t="s">
        <v>16</v>
      </c>
      <c r="D776" s="10">
        <f>+D775*0.35</f>
        <v>18.80739</v>
      </c>
      <c r="E776" s="13"/>
      <c r="F776" s="13"/>
      <c r="G776" s="14"/>
    </row>
    <row r="777" spans="1:7" s="5" customFormat="1" ht="15">
      <c r="A777" s="29"/>
      <c r="B777" s="21" t="s">
        <v>271</v>
      </c>
      <c r="C777" s="23"/>
      <c r="D777" s="10"/>
      <c r="E777" s="13"/>
      <c r="F777" s="13"/>
      <c r="G777" s="14"/>
    </row>
    <row r="778" spans="1:7" s="5" customFormat="1" ht="12.75">
      <c r="A778" s="29">
        <v>10.008</v>
      </c>
      <c r="B778" s="6" t="s">
        <v>272</v>
      </c>
      <c r="C778" s="23" t="s">
        <v>0</v>
      </c>
      <c r="D778" s="10">
        <f>102.62*0.3</f>
        <v>30.786</v>
      </c>
      <c r="E778" s="13"/>
      <c r="F778" s="13"/>
      <c r="G778" s="14"/>
    </row>
    <row r="779" spans="1:7" s="5" customFormat="1" ht="12.75">
      <c r="A779" s="29">
        <f t="shared" si="14"/>
        <v>10.008999999999999</v>
      </c>
      <c r="B779" s="6" t="s">
        <v>273</v>
      </c>
      <c r="C779" s="23" t="s">
        <v>0</v>
      </c>
      <c r="D779" s="10">
        <f>23.8*0.6*0.3</f>
        <v>4.284</v>
      </c>
      <c r="E779" s="13"/>
      <c r="F779" s="13"/>
      <c r="G779" s="14"/>
    </row>
    <row r="780" spans="1:7" s="5" customFormat="1" ht="12.75">
      <c r="A780" s="29">
        <f t="shared" si="14"/>
        <v>10.009999999999998</v>
      </c>
      <c r="B780" s="6" t="s">
        <v>275</v>
      </c>
      <c r="C780" s="23" t="s">
        <v>0</v>
      </c>
      <c r="D780" s="10">
        <f>1*1*0.3*2</f>
        <v>0.6</v>
      </c>
      <c r="E780" s="13"/>
      <c r="F780" s="13"/>
      <c r="G780" s="14"/>
    </row>
    <row r="781" spans="1:7" s="5" customFormat="1" ht="12.75">
      <c r="A781" s="29">
        <f t="shared" si="14"/>
        <v>10.010999999999997</v>
      </c>
      <c r="B781" s="6" t="s">
        <v>274</v>
      </c>
      <c r="C781" s="23" t="s">
        <v>0</v>
      </c>
      <c r="D781" s="10">
        <f>1.3*1.3*0.3*4</f>
        <v>2.028</v>
      </c>
      <c r="E781" s="13"/>
      <c r="F781" s="13"/>
      <c r="G781" s="14"/>
    </row>
    <row r="782" spans="1:7" s="5" customFormat="1" ht="15">
      <c r="A782" s="29"/>
      <c r="B782" s="21" t="s">
        <v>388</v>
      </c>
      <c r="C782" s="23"/>
      <c r="D782" s="10"/>
      <c r="E782" s="13"/>
      <c r="F782" s="13"/>
      <c r="G782" s="14"/>
    </row>
    <row r="783" spans="1:7" s="5" customFormat="1" ht="12.75">
      <c r="A783" s="29">
        <v>10.012</v>
      </c>
      <c r="B783" s="6" t="s">
        <v>276</v>
      </c>
      <c r="C783" s="23" t="s">
        <v>0</v>
      </c>
      <c r="D783" s="10">
        <f>2*0.8*0.2*3.2</f>
        <v>1.0240000000000002</v>
      </c>
      <c r="E783" s="13"/>
      <c r="F783" s="13"/>
      <c r="G783" s="14"/>
    </row>
    <row r="784" spans="1:7" s="5" customFormat="1" ht="12.75">
      <c r="A784" s="29">
        <f t="shared" si="14"/>
        <v>10.013</v>
      </c>
      <c r="B784" s="6" t="s">
        <v>277</v>
      </c>
      <c r="C784" s="23" t="s">
        <v>0</v>
      </c>
      <c r="D784" s="10">
        <f>0.22*3.2*3</f>
        <v>2.112</v>
      </c>
      <c r="E784" s="13"/>
      <c r="F784" s="13"/>
      <c r="G784" s="14"/>
    </row>
    <row r="785" spans="1:7" s="5" customFormat="1" ht="12.75">
      <c r="A785" s="29">
        <f t="shared" si="14"/>
        <v>10.014</v>
      </c>
      <c r="B785" s="6" t="s">
        <v>278</v>
      </c>
      <c r="C785" s="23" t="s">
        <v>0</v>
      </c>
      <c r="D785" s="10">
        <f>32*0.2*0.2*3.3</f>
        <v>4.224</v>
      </c>
      <c r="E785" s="13"/>
      <c r="F785" s="13"/>
      <c r="G785" s="14"/>
    </row>
    <row r="786" spans="1:7" s="5" customFormat="1" ht="12.75">
      <c r="A786" s="29">
        <f t="shared" si="14"/>
        <v>10.014999999999999</v>
      </c>
      <c r="B786" s="6" t="s">
        <v>260</v>
      </c>
      <c r="C786" s="23" t="s">
        <v>0</v>
      </c>
      <c r="D786" s="10">
        <f>0.3*0.3*8*3.8</f>
        <v>2.7359999999999998</v>
      </c>
      <c r="E786" s="13"/>
      <c r="F786" s="13"/>
      <c r="G786" s="14"/>
    </row>
    <row r="787" spans="1:7" s="5" customFormat="1" ht="12.75">
      <c r="A787" s="29">
        <f t="shared" si="14"/>
        <v>10.015999999999998</v>
      </c>
      <c r="B787" s="6" t="s">
        <v>261</v>
      </c>
      <c r="C787" s="23" t="s">
        <v>0</v>
      </c>
      <c r="D787" s="10">
        <f>30*0.4*0.3*3.2</f>
        <v>11.52</v>
      </c>
      <c r="E787" s="13"/>
      <c r="F787" s="13"/>
      <c r="G787" s="14"/>
    </row>
    <row r="788" spans="1:7" s="5" customFormat="1" ht="12.75">
      <c r="A788" s="29">
        <f t="shared" si="14"/>
        <v>10.016999999999998</v>
      </c>
      <c r="B788" s="6" t="s">
        <v>279</v>
      </c>
      <c r="C788" s="23" t="s">
        <v>0</v>
      </c>
      <c r="D788" s="10">
        <f>6.8*2*0.2*0.5</f>
        <v>1.36</v>
      </c>
      <c r="E788" s="13"/>
      <c r="F788" s="13"/>
      <c r="G788" s="14"/>
    </row>
    <row r="789" spans="1:7" s="5" customFormat="1" ht="12.75">
      <c r="A789" s="29">
        <f t="shared" si="14"/>
        <v>10.017999999999997</v>
      </c>
      <c r="B789" s="6" t="s">
        <v>282</v>
      </c>
      <c r="C789" s="23" t="s">
        <v>0</v>
      </c>
      <c r="D789" s="10">
        <f>0.76*0.3+(1.7*2)</f>
        <v>3.628</v>
      </c>
      <c r="E789" s="13"/>
      <c r="F789" s="13"/>
      <c r="G789" s="14"/>
    </row>
    <row r="790" spans="1:7" s="5" customFormat="1" ht="12.75">
      <c r="A790" s="29">
        <f t="shared" si="14"/>
        <v>10.018999999999997</v>
      </c>
      <c r="B790" s="6" t="s">
        <v>283</v>
      </c>
      <c r="C790" s="23" t="s">
        <v>0</v>
      </c>
      <c r="D790" s="10">
        <f>0.3*0.94*(3.6*2)</f>
        <v>2.0303999999999998</v>
      </c>
      <c r="E790" s="13"/>
      <c r="F790" s="13"/>
      <c r="G790" s="14"/>
    </row>
    <row r="791" spans="1:7" s="5" customFormat="1" ht="12.75">
      <c r="A791" s="29">
        <f t="shared" si="14"/>
        <v>10.019999999999996</v>
      </c>
      <c r="B791" s="6" t="s">
        <v>284</v>
      </c>
      <c r="C791" s="23" t="s">
        <v>0</v>
      </c>
      <c r="D791" s="10">
        <f>0.42*0.3*8.6</f>
        <v>1.0836</v>
      </c>
      <c r="E791" s="13"/>
      <c r="F791" s="13"/>
      <c r="G791" s="14"/>
    </row>
    <row r="792" spans="1:7" s="5" customFormat="1" ht="12.75">
      <c r="A792" s="29">
        <f t="shared" si="14"/>
        <v>10.020999999999995</v>
      </c>
      <c r="B792" s="6" t="s">
        <v>285</v>
      </c>
      <c r="C792" s="23" t="s">
        <v>0</v>
      </c>
      <c r="D792" s="10">
        <f>0.2*0.62*(3.85*2)*3</f>
        <v>2.8644</v>
      </c>
      <c r="E792" s="13"/>
      <c r="F792" s="13"/>
      <c r="G792" s="14"/>
    </row>
    <row r="793" spans="1:7" s="5" customFormat="1" ht="12.75">
      <c r="A793" s="29">
        <f t="shared" si="14"/>
        <v>10.021999999999995</v>
      </c>
      <c r="B793" s="6" t="s">
        <v>281</v>
      </c>
      <c r="C793" s="23" t="s">
        <v>0</v>
      </c>
      <c r="D793" s="10">
        <f>0.2*0.6*18.8</f>
        <v>2.256</v>
      </c>
      <c r="E793" s="13"/>
      <c r="F793" s="13"/>
      <c r="G793" s="14"/>
    </row>
    <row r="794" spans="1:7" s="5" customFormat="1" ht="12.75">
      <c r="A794" s="29">
        <f t="shared" si="14"/>
        <v>10.022999999999994</v>
      </c>
      <c r="B794" s="6" t="s">
        <v>286</v>
      </c>
      <c r="C794" s="23" t="s">
        <v>0</v>
      </c>
      <c r="D794" s="10">
        <f>15.5*0.426*0.3</f>
        <v>1.9808999999999999</v>
      </c>
      <c r="E794" s="13"/>
      <c r="F794" s="13"/>
      <c r="G794" s="14"/>
    </row>
    <row r="795" spans="1:7" s="5" customFormat="1" ht="12.75">
      <c r="A795" s="29">
        <f t="shared" si="14"/>
        <v>10.023999999999994</v>
      </c>
      <c r="B795" s="6" t="s">
        <v>287</v>
      </c>
      <c r="C795" s="23" t="s">
        <v>0</v>
      </c>
      <c r="D795" s="10">
        <f>3*0.762*0.3</f>
        <v>0.6858</v>
      </c>
      <c r="E795" s="13"/>
      <c r="F795" s="13"/>
      <c r="G795" s="14"/>
    </row>
    <row r="796" spans="1:7" s="5" customFormat="1" ht="12.75">
      <c r="A796" s="29">
        <f t="shared" si="14"/>
        <v>10.024999999999993</v>
      </c>
      <c r="B796" s="6" t="s">
        <v>280</v>
      </c>
      <c r="C796" s="23" t="s">
        <v>0</v>
      </c>
      <c r="D796" s="10">
        <f>5.7*4*0.2*0.4</f>
        <v>1.8240000000000003</v>
      </c>
      <c r="E796" s="13"/>
      <c r="F796" s="13"/>
      <c r="G796" s="14"/>
    </row>
    <row r="797" spans="1:7" s="5" customFormat="1" ht="12.75">
      <c r="A797" s="29">
        <f t="shared" si="14"/>
        <v>10.025999999999993</v>
      </c>
      <c r="B797" s="6" t="s">
        <v>402</v>
      </c>
      <c r="C797" s="23" t="s">
        <v>0</v>
      </c>
      <c r="D797" s="10">
        <f>+D799*0.12</f>
        <v>15.168</v>
      </c>
      <c r="E797" s="13"/>
      <c r="F797" s="13"/>
      <c r="G797" s="14"/>
    </row>
    <row r="798" spans="1:7" s="5" customFormat="1" ht="15">
      <c r="A798" s="29"/>
      <c r="B798" s="21" t="s">
        <v>288</v>
      </c>
      <c r="C798" s="23"/>
      <c r="D798" s="10"/>
      <c r="E798" s="13"/>
      <c r="F798" s="13"/>
      <c r="G798" s="14"/>
    </row>
    <row r="799" spans="1:7" s="5" customFormat="1" ht="12.75">
      <c r="A799" s="29">
        <v>10.027</v>
      </c>
      <c r="B799" s="6" t="s">
        <v>289</v>
      </c>
      <c r="C799" s="23" t="s">
        <v>10</v>
      </c>
      <c r="D799" s="10">
        <v>126.4</v>
      </c>
      <c r="E799" s="13"/>
      <c r="F799" s="13"/>
      <c r="G799" s="14"/>
    </row>
    <row r="800" spans="1:7" s="5" customFormat="1" ht="12.75">
      <c r="A800" s="29">
        <f t="shared" si="14"/>
        <v>10.027999999999999</v>
      </c>
      <c r="B800" s="6" t="s">
        <v>290</v>
      </c>
      <c r="C800" s="23" t="s">
        <v>11</v>
      </c>
      <c r="D800" s="10">
        <v>98.42</v>
      </c>
      <c r="E800" s="13"/>
      <c r="F800" s="13"/>
      <c r="G800" s="14"/>
    </row>
    <row r="801" spans="1:7" s="5" customFormat="1" ht="12.75">
      <c r="A801" s="29">
        <f t="shared" si="14"/>
        <v>10.028999999999998</v>
      </c>
      <c r="B801" s="6" t="s">
        <v>291</v>
      </c>
      <c r="C801" s="23" t="s">
        <v>10</v>
      </c>
      <c r="D801" s="10">
        <f>+D799</f>
        <v>126.4</v>
      </c>
      <c r="E801" s="13"/>
      <c r="F801" s="13"/>
      <c r="G801" s="14"/>
    </row>
    <row r="802" spans="1:7" s="5" customFormat="1" ht="15">
      <c r="A802" s="29"/>
      <c r="B802" s="21" t="s">
        <v>296</v>
      </c>
      <c r="C802" s="23"/>
      <c r="D802" s="10"/>
      <c r="E802" s="13"/>
      <c r="F802" s="13"/>
      <c r="G802" s="14"/>
    </row>
    <row r="803" spans="1:7" s="5" customFormat="1" ht="12.75">
      <c r="A803" s="29">
        <v>10.03</v>
      </c>
      <c r="B803" s="6" t="s">
        <v>297</v>
      </c>
      <c r="C803" s="23" t="s">
        <v>10</v>
      </c>
      <c r="D803" s="10">
        <f>9.8*4+(9.2*4)+(0.65*4)</f>
        <v>78.6</v>
      </c>
      <c r="E803" s="13"/>
      <c r="F803" s="13"/>
      <c r="G803" s="14"/>
    </row>
    <row r="804" spans="1:7" s="5" customFormat="1" ht="12.75">
      <c r="A804" s="29">
        <f t="shared" si="14"/>
        <v>10.030999999999999</v>
      </c>
      <c r="B804" s="6" t="s">
        <v>298</v>
      </c>
      <c r="C804" s="23" t="s">
        <v>10</v>
      </c>
      <c r="D804" s="10">
        <v>65.2</v>
      </c>
      <c r="E804" s="13"/>
      <c r="F804" s="13"/>
      <c r="G804" s="14"/>
    </row>
    <row r="805" spans="1:7" s="5" customFormat="1" ht="15">
      <c r="A805" s="29"/>
      <c r="B805" s="21" t="s">
        <v>292</v>
      </c>
      <c r="C805" s="23"/>
      <c r="D805" s="10"/>
      <c r="E805" s="13"/>
      <c r="F805" s="13"/>
      <c r="G805" s="14"/>
    </row>
    <row r="806" spans="1:7" s="5" customFormat="1" ht="12.75">
      <c r="A806" s="29">
        <v>10.032</v>
      </c>
      <c r="B806" s="6" t="s">
        <v>262</v>
      </c>
      <c r="C806" s="23" t="s">
        <v>10</v>
      </c>
      <c r="D806" s="10">
        <f>143.8*2</f>
        <v>287.6</v>
      </c>
      <c r="E806" s="13"/>
      <c r="F806" s="13"/>
      <c r="G806" s="14"/>
    </row>
    <row r="807" spans="1:7" s="5" customFormat="1" ht="12.75">
      <c r="A807" s="29">
        <f t="shared" si="14"/>
        <v>10.033</v>
      </c>
      <c r="B807" s="6" t="s">
        <v>293</v>
      </c>
      <c r="C807" s="23" t="s">
        <v>10</v>
      </c>
      <c r="D807" s="10">
        <f>+D806</f>
        <v>287.6</v>
      </c>
      <c r="E807" s="13"/>
      <c r="F807" s="13"/>
      <c r="G807" s="14"/>
    </row>
    <row r="808" spans="1:7" s="5" customFormat="1" ht="12.75">
      <c r="A808" s="29">
        <f t="shared" si="14"/>
        <v>10.033999999999999</v>
      </c>
      <c r="B808" s="18" t="s">
        <v>309</v>
      </c>
      <c r="C808" s="23" t="s">
        <v>11</v>
      </c>
      <c r="D808" s="10">
        <v>360</v>
      </c>
      <c r="E808" s="13"/>
      <c r="F808" s="13"/>
      <c r="G808" s="14"/>
    </row>
    <row r="809" spans="1:7" s="5" customFormat="1" ht="12.75">
      <c r="A809" s="29">
        <f t="shared" si="14"/>
        <v>10.034999999999998</v>
      </c>
      <c r="B809" s="6" t="s">
        <v>294</v>
      </c>
      <c r="C809" s="23" t="s">
        <v>10</v>
      </c>
      <c r="D809" s="10">
        <f>60*1.8</f>
        <v>108</v>
      </c>
      <c r="E809" s="13"/>
      <c r="F809" s="13"/>
      <c r="G809" s="14"/>
    </row>
    <row r="810" spans="1:7" s="5" customFormat="1" ht="12.75">
      <c r="A810" s="29">
        <f t="shared" si="14"/>
        <v>10.035999999999998</v>
      </c>
      <c r="B810" s="6" t="s">
        <v>295</v>
      </c>
      <c r="C810" s="23" t="s">
        <v>10</v>
      </c>
      <c r="D810" s="10">
        <f>6.2*0.8</f>
        <v>4.960000000000001</v>
      </c>
      <c r="E810" s="13"/>
      <c r="F810" s="13"/>
      <c r="G810" s="14"/>
    </row>
    <row r="811" spans="1:7" s="5" customFormat="1" ht="12.75">
      <c r="A811" s="29">
        <f t="shared" si="14"/>
        <v>10.036999999999997</v>
      </c>
      <c r="B811" s="6" t="s">
        <v>299</v>
      </c>
      <c r="C811" s="23" t="s">
        <v>10</v>
      </c>
      <c r="D811" s="10">
        <v>38.02</v>
      </c>
      <c r="E811" s="13"/>
      <c r="F811" s="13"/>
      <c r="G811" s="14"/>
    </row>
    <row r="812" spans="1:7" s="5" customFormat="1" ht="12.75">
      <c r="A812" s="29">
        <f t="shared" si="14"/>
        <v>10.037999999999997</v>
      </c>
      <c r="B812" s="6" t="s">
        <v>300</v>
      </c>
      <c r="C812" s="23" t="s">
        <v>11</v>
      </c>
      <c r="D812" s="10">
        <f>9.2*6</f>
        <v>55.199999999999996</v>
      </c>
      <c r="E812" s="13"/>
      <c r="F812" s="13"/>
      <c r="G812" s="14"/>
    </row>
    <row r="813" spans="1:7" s="5" customFormat="1" ht="15">
      <c r="A813" s="29"/>
      <c r="B813" s="21" t="s">
        <v>316</v>
      </c>
      <c r="C813" s="23"/>
      <c r="D813" s="10"/>
      <c r="E813" s="13"/>
      <c r="F813" s="13"/>
      <c r="G813" s="14"/>
    </row>
    <row r="814" spans="1:7" s="5" customFormat="1" ht="12.75">
      <c r="A814" s="29">
        <v>10.039</v>
      </c>
      <c r="B814" s="6" t="s">
        <v>317</v>
      </c>
      <c r="C814" s="23" t="s">
        <v>10</v>
      </c>
      <c r="D814" s="10">
        <v>146.8</v>
      </c>
      <c r="E814" s="13"/>
      <c r="F814" s="13"/>
      <c r="G814" s="14"/>
    </row>
    <row r="815" spans="1:7" s="5" customFormat="1" ht="12.75">
      <c r="A815" s="29">
        <f t="shared" si="14"/>
        <v>10.04</v>
      </c>
      <c r="B815" s="6" t="s">
        <v>359</v>
      </c>
      <c r="C815" s="23" t="s">
        <v>11</v>
      </c>
      <c r="D815" s="10">
        <v>75.52</v>
      </c>
      <c r="E815" s="13"/>
      <c r="F815" s="13"/>
      <c r="G815" s="14"/>
    </row>
    <row r="816" spans="1:7" s="5" customFormat="1" ht="12.75">
      <c r="A816" s="29">
        <f t="shared" si="14"/>
        <v>10.040999999999999</v>
      </c>
      <c r="B816" s="6" t="s">
        <v>358</v>
      </c>
      <c r="C816" s="23" t="s">
        <v>11</v>
      </c>
      <c r="D816" s="10">
        <f>8*9.5*2</f>
        <v>152</v>
      </c>
      <c r="E816" s="13"/>
      <c r="F816" s="13"/>
      <c r="G816" s="14"/>
    </row>
    <row r="817" spans="1:7" s="5" customFormat="1" ht="12.75">
      <c r="A817" s="29">
        <f t="shared" si="14"/>
        <v>10.041999999999998</v>
      </c>
      <c r="B817" s="6" t="s">
        <v>320</v>
      </c>
      <c r="C817" s="23" t="s">
        <v>11</v>
      </c>
      <c r="D817" s="10">
        <f>9.2*4</f>
        <v>36.8</v>
      </c>
      <c r="E817" s="13"/>
      <c r="F817" s="13"/>
      <c r="G817" s="14"/>
    </row>
    <row r="818" spans="1:7" s="5" customFormat="1" ht="12.75">
      <c r="A818" s="29">
        <f t="shared" si="14"/>
        <v>10.042999999999997</v>
      </c>
      <c r="B818" s="6" t="s">
        <v>318</v>
      </c>
      <c r="C818" s="23" t="s">
        <v>319</v>
      </c>
      <c r="D818" s="10">
        <v>1</v>
      </c>
      <c r="E818" s="13"/>
      <c r="F818" s="13"/>
      <c r="G818" s="14"/>
    </row>
    <row r="819" spans="1:7" s="5" customFormat="1" ht="15">
      <c r="A819" s="29"/>
      <c r="B819" s="21" t="s">
        <v>322</v>
      </c>
      <c r="C819" s="23"/>
      <c r="D819" s="10"/>
      <c r="E819" s="13"/>
      <c r="F819" s="13"/>
      <c r="G819" s="14"/>
    </row>
    <row r="820" spans="1:7" s="5" customFormat="1" ht="12.75">
      <c r="A820" s="29">
        <v>10.044</v>
      </c>
      <c r="B820" s="6" t="s">
        <v>325</v>
      </c>
      <c r="C820" s="23" t="s">
        <v>10</v>
      </c>
      <c r="D820" s="10">
        <v>196</v>
      </c>
      <c r="E820" s="13"/>
      <c r="F820" s="13"/>
      <c r="G820" s="14"/>
    </row>
    <row r="821" spans="1:7" s="5" customFormat="1" ht="12.75">
      <c r="A821" s="29">
        <f t="shared" si="14"/>
        <v>10.045</v>
      </c>
      <c r="B821" s="6" t="s">
        <v>323</v>
      </c>
      <c r="C821" s="23" t="s">
        <v>11</v>
      </c>
      <c r="D821" s="10">
        <v>227.7</v>
      </c>
      <c r="E821" s="13"/>
      <c r="F821" s="13"/>
      <c r="G821" s="14"/>
    </row>
    <row r="822" spans="1:7" s="5" customFormat="1" ht="12.75">
      <c r="A822" s="29">
        <f t="shared" si="14"/>
        <v>10.046</v>
      </c>
      <c r="B822" s="6" t="s">
        <v>326</v>
      </c>
      <c r="C822" s="23" t="s">
        <v>10</v>
      </c>
      <c r="D822" s="10">
        <f>+D820+(D823*0.07)</f>
        <v>207.83</v>
      </c>
      <c r="E822" s="13"/>
      <c r="F822" s="13"/>
      <c r="G822" s="14"/>
    </row>
    <row r="823" spans="1:7" s="5" customFormat="1" ht="12.75">
      <c r="A823" s="29">
        <f t="shared" si="14"/>
        <v>10.046999999999999</v>
      </c>
      <c r="B823" s="6" t="s">
        <v>324</v>
      </c>
      <c r="C823" s="23" t="s">
        <v>11</v>
      </c>
      <c r="D823" s="10">
        <f>144+25</f>
        <v>169</v>
      </c>
      <c r="E823" s="13"/>
      <c r="F823" s="13"/>
      <c r="G823" s="14"/>
    </row>
    <row r="824" spans="1:7" s="5" customFormat="1" ht="15">
      <c r="A824" s="29"/>
      <c r="B824" s="21" t="s">
        <v>327</v>
      </c>
      <c r="C824" s="23"/>
      <c r="D824" s="10"/>
      <c r="E824" s="13"/>
      <c r="F824" s="13"/>
      <c r="G824" s="14"/>
    </row>
    <row r="825" spans="1:7" s="5" customFormat="1" ht="12.75">
      <c r="A825" s="29">
        <v>10.048</v>
      </c>
      <c r="B825" s="6" t="s">
        <v>330</v>
      </c>
      <c r="C825" s="23" t="s">
        <v>13</v>
      </c>
      <c r="D825" s="10">
        <v>2</v>
      </c>
      <c r="E825" s="13"/>
      <c r="F825" s="13"/>
      <c r="G825" s="14"/>
    </row>
    <row r="826" spans="1:7" s="5" customFormat="1" ht="12.75">
      <c r="A826" s="29">
        <f t="shared" si="14"/>
        <v>10.049</v>
      </c>
      <c r="B826" s="6" t="s">
        <v>331</v>
      </c>
      <c r="C826" s="23" t="s">
        <v>13</v>
      </c>
      <c r="D826" s="10">
        <v>1</v>
      </c>
      <c r="E826" s="13"/>
      <c r="F826" s="13"/>
      <c r="G826" s="14"/>
    </row>
    <row r="827" spans="1:7" s="5" customFormat="1" ht="12.75">
      <c r="A827" s="29">
        <f t="shared" si="14"/>
        <v>10.049999999999999</v>
      </c>
      <c r="B827" s="6" t="s">
        <v>332</v>
      </c>
      <c r="C827" s="23" t="s">
        <v>13</v>
      </c>
      <c r="D827" s="10">
        <v>1</v>
      </c>
      <c r="E827" s="13"/>
      <c r="F827" s="13"/>
      <c r="G827" s="14"/>
    </row>
    <row r="828" spans="1:7" s="5" customFormat="1" ht="12.75">
      <c r="A828" s="29">
        <f t="shared" si="14"/>
        <v>10.050999999999998</v>
      </c>
      <c r="B828" s="6" t="s">
        <v>329</v>
      </c>
      <c r="C828" s="23" t="s">
        <v>13</v>
      </c>
      <c r="D828" s="10">
        <v>4</v>
      </c>
      <c r="E828" s="13"/>
      <c r="F828" s="13"/>
      <c r="G828" s="14"/>
    </row>
    <row r="829" spans="1:7" s="5" customFormat="1" ht="12.75">
      <c r="A829" s="29">
        <f t="shared" si="14"/>
        <v>10.051999999999998</v>
      </c>
      <c r="B829" s="6" t="s">
        <v>334</v>
      </c>
      <c r="C829" s="23" t="s">
        <v>159</v>
      </c>
      <c r="D829" s="10">
        <f>(47.65*10.76)*1.05</f>
        <v>538.3497</v>
      </c>
      <c r="E829" s="13"/>
      <c r="F829" s="13"/>
      <c r="G829" s="14"/>
    </row>
    <row r="830" spans="1:7" s="5" customFormat="1" ht="15">
      <c r="A830" s="29"/>
      <c r="B830" s="21" t="s">
        <v>338</v>
      </c>
      <c r="C830" s="23"/>
      <c r="D830" s="10"/>
      <c r="E830" s="13"/>
      <c r="F830" s="13"/>
      <c r="G830" s="14"/>
    </row>
    <row r="831" spans="1:7" s="5" customFormat="1" ht="12.75">
      <c r="A831" s="29">
        <v>10.053</v>
      </c>
      <c r="B831" s="6" t="s">
        <v>336</v>
      </c>
      <c r="C831" s="23" t="s">
        <v>11</v>
      </c>
      <c r="D831" s="10">
        <f>42*1.5</f>
        <v>63</v>
      </c>
      <c r="E831" s="13"/>
      <c r="F831" s="13"/>
      <c r="G831" s="14"/>
    </row>
    <row r="832" spans="1:7" s="5" customFormat="1" ht="12.75">
      <c r="A832" s="29">
        <f t="shared" si="14"/>
        <v>10.054</v>
      </c>
      <c r="B832" s="6" t="s">
        <v>335</v>
      </c>
      <c r="C832" s="23" t="s">
        <v>16</v>
      </c>
      <c r="D832" s="10">
        <f>54*1.2*0.3</f>
        <v>19.439999999999998</v>
      </c>
      <c r="E832" s="13"/>
      <c r="F832" s="13"/>
      <c r="G832" s="14"/>
    </row>
    <row r="833" spans="1:7" s="5" customFormat="1" ht="12.75">
      <c r="A833" s="29">
        <f t="shared" si="14"/>
        <v>10.055</v>
      </c>
      <c r="B833" s="6" t="s">
        <v>337</v>
      </c>
      <c r="C833" s="23" t="s">
        <v>10</v>
      </c>
      <c r="D833" s="10">
        <f>54*1.2</f>
        <v>64.8</v>
      </c>
      <c r="E833" s="13"/>
      <c r="F833" s="13"/>
      <c r="G833" s="14"/>
    </row>
    <row r="834" spans="1:7" s="5" customFormat="1" ht="15">
      <c r="A834" s="29"/>
      <c r="B834" s="21" t="s">
        <v>339</v>
      </c>
      <c r="C834" s="23"/>
      <c r="D834" s="10"/>
      <c r="E834" s="13"/>
      <c r="F834" s="13"/>
      <c r="G834" s="14"/>
    </row>
    <row r="835" spans="1:7" s="5" customFormat="1" ht="12.75">
      <c r="A835" s="29">
        <v>10.056</v>
      </c>
      <c r="B835" s="6" t="s">
        <v>342</v>
      </c>
      <c r="C835" s="23" t="s">
        <v>10</v>
      </c>
      <c r="D835" s="10">
        <f>+D807+165</f>
        <v>452.6</v>
      </c>
      <c r="E835" s="13"/>
      <c r="F835" s="13"/>
      <c r="G835" s="14"/>
    </row>
    <row r="836" spans="1:7" s="5" customFormat="1" ht="12.75">
      <c r="A836" s="29">
        <f t="shared" si="14"/>
        <v>10.056999999999999</v>
      </c>
      <c r="B836" s="6" t="s">
        <v>340</v>
      </c>
      <c r="C836" s="23" t="s">
        <v>10</v>
      </c>
      <c r="D836" s="10">
        <f>+((D807+D799)*1.07)*0.6</f>
        <v>265.788</v>
      </c>
      <c r="E836" s="13"/>
      <c r="F836" s="13"/>
      <c r="G836" s="14"/>
    </row>
    <row r="837" spans="1:7" s="5" customFormat="1" ht="12.75">
      <c r="A837" s="29">
        <f>+A836+0.001</f>
        <v>10.057999999999998</v>
      </c>
      <c r="B837" s="6" t="s">
        <v>341</v>
      </c>
      <c r="C837" s="23" t="s">
        <v>10</v>
      </c>
      <c r="D837" s="10">
        <f>+D835-D836</f>
        <v>186.812</v>
      </c>
      <c r="E837" s="13"/>
      <c r="F837" s="13"/>
      <c r="G837" s="14"/>
    </row>
    <row r="838" spans="1:7" s="5" customFormat="1" ht="15">
      <c r="A838" s="29"/>
      <c r="B838" s="21" t="s">
        <v>385</v>
      </c>
      <c r="C838" s="23"/>
      <c r="D838" s="10"/>
      <c r="E838" s="13"/>
      <c r="F838" s="13"/>
      <c r="G838" s="14"/>
    </row>
    <row r="839" spans="1:7" s="5" customFormat="1" ht="12.75">
      <c r="A839" s="29">
        <v>10.059</v>
      </c>
      <c r="B839" s="6" t="s">
        <v>386</v>
      </c>
      <c r="C839" s="23" t="s">
        <v>10</v>
      </c>
      <c r="D839" s="10">
        <f>3.5*3.2</f>
        <v>11.200000000000001</v>
      </c>
      <c r="E839" s="13"/>
      <c r="F839" s="13"/>
      <c r="G839" s="14"/>
    </row>
    <row r="840" spans="1:7" s="5" customFormat="1" ht="12.75">
      <c r="A840" s="29"/>
      <c r="B840" s="6"/>
      <c r="C840" s="23"/>
      <c r="D840" s="10"/>
      <c r="E840" s="13"/>
      <c r="F840" s="13"/>
      <c r="G840" s="14"/>
    </row>
    <row r="841" spans="1:7" s="5" customFormat="1" ht="13.5" thickBot="1">
      <c r="A841" s="29"/>
      <c r="B841" s="6"/>
      <c r="C841" s="23"/>
      <c r="D841" s="10"/>
      <c r="E841" s="13"/>
      <c r="F841" s="13"/>
      <c r="G841" s="14"/>
    </row>
    <row r="842" spans="1:7" s="5" customFormat="1" ht="13.5" thickBot="1">
      <c r="A842" s="29"/>
      <c r="B842" s="6"/>
      <c r="C842" s="23"/>
      <c r="D842" s="10"/>
      <c r="E842" s="71" t="str">
        <f>+B768</f>
        <v>Construcción Biblioteca</v>
      </c>
      <c r="F842" s="72"/>
      <c r="G842" s="16">
        <f>SUM(F768:F841)</f>
        <v>0</v>
      </c>
    </row>
    <row r="843" spans="2:7" ht="15.75" thickBot="1">
      <c r="B843" s="15"/>
      <c r="C843" s="12"/>
      <c r="D843" s="25"/>
      <c r="E843" s="13"/>
      <c r="F843" s="13"/>
      <c r="G843" s="24"/>
    </row>
    <row r="844" spans="1:7" ht="30.75" thickBot="1">
      <c r="A844" s="28">
        <v>11</v>
      </c>
      <c r="B844" s="66" t="s">
        <v>394</v>
      </c>
      <c r="C844" s="23"/>
      <c r="D844" s="10"/>
      <c r="E844" s="13"/>
      <c r="F844" s="13"/>
      <c r="G844" s="14"/>
    </row>
    <row r="845" spans="1:7" ht="15">
      <c r="A845" s="29">
        <f>+A844+0.001</f>
        <v>11.001</v>
      </c>
      <c r="B845" s="6" t="s">
        <v>397</v>
      </c>
      <c r="C845" s="23" t="s">
        <v>10</v>
      </c>
      <c r="D845" s="10">
        <v>212.88</v>
      </c>
      <c r="E845" s="13"/>
      <c r="F845" s="13"/>
      <c r="G845" s="14"/>
    </row>
    <row r="846" spans="1:7" ht="15">
      <c r="A846" s="29">
        <f aca="true" t="shared" si="15" ref="A846:A911">+A845+0.001</f>
        <v>11.001999999999999</v>
      </c>
      <c r="B846" s="21" t="s">
        <v>265</v>
      </c>
      <c r="C846" s="23"/>
      <c r="D846" s="10"/>
      <c r="E846" s="13"/>
      <c r="F846" s="13"/>
      <c r="G846" s="14"/>
    </row>
    <row r="847" spans="1:7" ht="15">
      <c r="A847" s="29">
        <f t="shared" si="15"/>
        <v>11.002999999999998</v>
      </c>
      <c r="B847" s="6" t="s">
        <v>427</v>
      </c>
      <c r="C847" s="23" t="s">
        <v>15</v>
      </c>
      <c r="D847" s="10">
        <f>1*1*0.3*20</f>
        <v>6</v>
      </c>
      <c r="E847" s="13"/>
      <c r="F847" s="13"/>
      <c r="G847" s="14"/>
    </row>
    <row r="848" spans="1:7" ht="15">
      <c r="A848" s="29">
        <f t="shared" si="15"/>
        <v>11.003999999999998</v>
      </c>
      <c r="B848" s="6" t="s">
        <v>428</v>
      </c>
      <c r="C848" s="23" t="s">
        <v>15</v>
      </c>
      <c r="D848" s="10">
        <f>98.91*1.05*0.2</f>
        <v>20.771100000000004</v>
      </c>
      <c r="E848" s="13"/>
      <c r="F848" s="13"/>
      <c r="G848" s="14"/>
    </row>
    <row r="849" spans="1:7" ht="15">
      <c r="A849" s="29">
        <f t="shared" si="15"/>
        <v>11.004999999999997</v>
      </c>
      <c r="B849" s="21" t="s">
        <v>271</v>
      </c>
      <c r="C849" s="23"/>
      <c r="D849" s="10"/>
      <c r="E849" s="13"/>
      <c r="F849" s="13"/>
      <c r="G849" s="14"/>
    </row>
    <row r="850" spans="1:7" ht="15">
      <c r="A850" s="29">
        <f t="shared" si="15"/>
        <v>11.005999999999997</v>
      </c>
      <c r="B850" s="6" t="s">
        <v>429</v>
      </c>
      <c r="C850" s="23" t="s">
        <v>0</v>
      </c>
      <c r="D850" s="10">
        <f>98.91*0.3</f>
        <v>29.673</v>
      </c>
      <c r="E850" s="13"/>
      <c r="F850" s="13"/>
      <c r="G850" s="14"/>
    </row>
    <row r="851" spans="1:7" ht="15">
      <c r="A851" s="29">
        <f t="shared" si="15"/>
        <v>11.006999999999996</v>
      </c>
      <c r="B851" s="21" t="s">
        <v>388</v>
      </c>
      <c r="C851" s="23"/>
      <c r="D851" s="10"/>
      <c r="E851" s="13"/>
      <c r="F851" s="13"/>
      <c r="G851" s="14"/>
    </row>
    <row r="852" spans="1:7" ht="15">
      <c r="A852" s="29">
        <f t="shared" si="15"/>
        <v>11.007999999999996</v>
      </c>
      <c r="B852" s="6" t="s">
        <v>278</v>
      </c>
      <c r="C852" s="23" t="s">
        <v>0</v>
      </c>
      <c r="D852" s="10">
        <f>0.2*0.2*3.4*20</f>
        <v>2.72</v>
      </c>
      <c r="E852" s="13"/>
      <c r="F852" s="13"/>
      <c r="G852" s="14"/>
    </row>
    <row r="853" spans="1:7" ht="15">
      <c r="A853" s="29">
        <f t="shared" si="15"/>
        <v>11.008999999999995</v>
      </c>
      <c r="B853" s="6" t="s">
        <v>430</v>
      </c>
      <c r="C853" s="23" t="s">
        <v>0</v>
      </c>
      <c r="D853" s="10">
        <f>2*0.2*0.2*3.4</f>
        <v>0.272</v>
      </c>
      <c r="E853" s="13"/>
      <c r="F853" s="13"/>
      <c r="G853" s="14"/>
    </row>
    <row r="854" spans="1:7" ht="15">
      <c r="A854" s="29">
        <f t="shared" si="15"/>
        <v>11.009999999999994</v>
      </c>
      <c r="B854" s="6" t="s">
        <v>431</v>
      </c>
      <c r="C854" s="23" t="s">
        <v>0</v>
      </c>
      <c r="D854" s="10">
        <f>0.4*0.2*3.4*32</f>
        <v>8.704</v>
      </c>
      <c r="E854" s="13"/>
      <c r="F854" s="13"/>
      <c r="G854" s="14"/>
    </row>
    <row r="855" spans="1:7" ht="15">
      <c r="A855" s="29">
        <f t="shared" si="15"/>
        <v>11.010999999999994</v>
      </c>
      <c r="B855" s="6" t="s">
        <v>432</v>
      </c>
      <c r="C855" s="23" t="s">
        <v>0</v>
      </c>
      <c r="D855" s="10">
        <f>0.2*0.34*22</f>
        <v>1.496</v>
      </c>
      <c r="E855" s="13"/>
      <c r="F855" s="13"/>
      <c r="G855" s="14"/>
    </row>
    <row r="856" spans="1:7" ht="15">
      <c r="A856" s="29">
        <f t="shared" si="15"/>
        <v>11.011999999999993</v>
      </c>
      <c r="B856" s="6" t="s">
        <v>433</v>
      </c>
      <c r="C856" s="23" t="s">
        <v>0</v>
      </c>
      <c r="D856" s="10">
        <f>0.2*0.32*4.4*2</f>
        <v>0.5632</v>
      </c>
      <c r="E856" s="13"/>
      <c r="F856" s="13"/>
      <c r="G856" s="14"/>
    </row>
    <row r="857" spans="1:7" ht="15">
      <c r="A857" s="29">
        <f t="shared" si="15"/>
        <v>11.012999999999993</v>
      </c>
      <c r="B857" s="6" t="s">
        <v>434</v>
      </c>
      <c r="C857" s="23" t="s">
        <v>0</v>
      </c>
      <c r="D857" s="10">
        <f>0.32*0.2*2*2</f>
        <v>0.256</v>
      </c>
      <c r="E857" s="13"/>
      <c r="F857" s="13"/>
      <c r="G857" s="14"/>
    </row>
    <row r="858" spans="1:7" ht="15">
      <c r="A858" s="29">
        <f t="shared" si="15"/>
        <v>11.013999999999992</v>
      </c>
      <c r="B858" s="6" t="s">
        <v>435</v>
      </c>
      <c r="C858" s="23" t="s">
        <v>0</v>
      </c>
      <c r="D858" s="10">
        <f>0.62*0.2*8.4*2</f>
        <v>2.0832</v>
      </c>
      <c r="E858" s="13"/>
      <c r="F858" s="13"/>
      <c r="G858" s="14"/>
    </row>
    <row r="859" spans="1:7" ht="15">
      <c r="A859" s="29">
        <f t="shared" si="15"/>
        <v>11.014999999999992</v>
      </c>
      <c r="B859" s="6" t="s">
        <v>280</v>
      </c>
      <c r="C859" s="23" t="s">
        <v>0</v>
      </c>
      <c r="D859" s="10">
        <f>0.3*0.2*4.78</f>
        <v>0.2868</v>
      </c>
      <c r="E859" s="13"/>
      <c r="F859" s="13"/>
      <c r="G859" s="14"/>
    </row>
    <row r="860" spans="1:7" ht="15">
      <c r="A860" s="29">
        <f t="shared" si="15"/>
        <v>11.015999999999991</v>
      </c>
      <c r="B860" s="47" t="s">
        <v>402</v>
      </c>
      <c r="C860" s="48" t="s">
        <v>0</v>
      </c>
      <c r="D860" s="49">
        <f>82.02*0.12</f>
        <v>9.8424</v>
      </c>
      <c r="E860" s="50"/>
      <c r="F860" s="50"/>
      <c r="G860" s="14"/>
    </row>
    <row r="861" spans="1:7" ht="15">
      <c r="A861" s="29">
        <f t="shared" si="15"/>
        <v>11.01699999999999</v>
      </c>
      <c r="B861" s="47" t="s">
        <v>398</v>
      </c>
      <c r="C861" s="48" t="s">
        <v>0</v>
      </c>
      <c r="D861" s="49">
        <f>18.8*0.4*0.2</f>
        <v>1.5040000000000002</v>
      </c>
      <c r="E861" s="50"/>
      <c r="F861" s="50"/>
      <c r="G861" s="14"/>
    </row>
    <row r="862" spans="1:7" ht="15">
      <c r="A862" s="29">
        <f t="shared" si="15"/>
        <v>11.01799999999999</v>
      </c>
      <c r="B862" s="47" t="s">
        <v>399</v>
      </c>
      <c r="C862" s="48" t="s">
        <v>0</v>
      </c>
      <c r="D862" s="49">
        <f>4*2*0.2*0.2</f>
        <v>0.32000000000000006</v>
      </c>
      <c r="E862" s="50"/>
      <c r="F862" s="50"/>
      <c r="G862" s="14"/>
    </row>
    <row r="863" spans="1:7" ht="15">
      <c r="A863" s="29">
        <f t="shared" si="15"/>
        <v>11.01899999999999</v>
      </c>
      <c r="B863" s="21" t="s">
        <v>288</v>
      </c>
      <c r="C863" s="48"/>
      <c r="D863" s="49"/>
      <c r="E863" s="50"/>
      <c r="F863" s="50"/>
      <c r="G863" s="14"/>
    </row>
    <row r="864" spans="1:7" ht="15">
      <c r="A864" s="29">
        <f t="shared" si="15"/>
        <v>11.019999999999989</v>
      </c>
      <c r="B864" s="47" t="s">
        <v>289</v>
      </c>
      <c r="C864" s="48" t="s">
        <v>10</v>
      </c>
      <c r="D864" s="49">
        <f>+D860/0.12</f>
        <v>82.02</v>
      </c>
      <c r="E864" s="50"/>
      <c r="F864" s="50"/>
      <c r="G864" s="14"/>
    </row>
    <row r="865" spans="1:7" ht="15">
      <c r="A865" s="29">
        <f t="shared" si="15"/>
        <v>11.020999999999988</v>
      </c>
      <c r="B865" s="47" t="s">
        <v>290</v>
      </c>
      <c r="C865" s="48" t="s">
        <v>11</v>
      </c>
      <c r="D865" s="49">
        <f>+D864*0.862</f>
        <v>70.70124</v>
      </c>
      <c r="E865" s="50"/>
      <c r="F865" s="50"/>
      <c r="G865" s="14"/>
    </row>
    <row r="866" spans="1:7" ht="15">
      <c r="A866" s="29">
        <f t="shared" si="15"/>
        <v>11.021999999999988</v>
      </c>
      <c r="B866" s="47" t="s">
        <v>291</v>
      </c>
      <c r="C866" s="48" t="s">
        <v>10</v>
      </c>
      <c r="D866" s="49">
        <f>+D864*1.42</f>
        <v>116.46839999999999</v>
      </c>
      <c r="E866" s="50"/>
      <c r="F866" s="50"/>
      <c r="G866" s="14"/>
    </row>
    <row r="867" spans="1:7" ht="15">
      <c r="A867" s="29">
        <f t="shared" si="15"/>
        <v>11.022999999999987</v>
      </c>
      <c r="B867" s="47" t="s">
        <v>400</v>
      </c>
      <c r="C867" s="48" t="s">
        <v>11</v>
      </c>
      <c r="D867" s="49">
        <f>3.2*2</f>
        <v>6.4</v>
      </c>
      <c r="E867" s="50"/>
      <c r="F867" s="50"/>
      <c r="G867" s="14"/>
    </row>
    <row r="868" spans="1:7" ht="15">
      <c r="A868" s="29">
        <f t="shared" si="15"/>
        <v>11.023999999999987</v>
      </c>
      <c r="B868" s="21" t="s">
        <v>296</v>
      </c>
      <c r="C868" s="48"/>
      <c r="D868" s="49"/>
      <c r="E868" s="50"/>
      <c r="F868" s="50"/>
      <c r="G868" s="14"/>
    </row>
    <row r="869" spans="1:7" ht="15">
      <c r="A869" s="29">
        <f t="shared" si="15"/>
        <v>11.024999999999986</v>
      </c>
      <c r="B869" s="47" t="s">
        <v>297</v>
      </c>
      <c r="C869" s="48" t="s">
        <v>10</v>
      </c>
      <c r="D869" s="49">
        <f>(81.92*2.8)-(D912/10.76)</f>
        <v>186.896</v>
      </c>
      <c r="E869" s="50"/>
      <c r="F869" s="50"/>
      <c r="G869" s="14"/>
    </row>
    <row r="870" spans="1:7" ht="15">
      <c r="A870" s="29">
        <f t="shared" si="15"/>
        <v>11.025999999999986</v>
      </c>
      <c r="B870" s="21" t="s">
        <v>292</v>
      </c>
      <c r="C870" s="48"/>
      <c r="D870" s="49"/>
      <c r="E870" s="50"/>
      <c r="F870" s="50"/>
      <c r="G870" s="14"/>
    </row>
    <row r="871" spans="1:7" ht="15">
      <c r="A871" s="29">
        <f t="shared" si="15"/>
        <v>11.026999999999985</v>
      </c>
      <c r="B871" s="47" t="s">
        <v>262</v>
      </c>
      <c r="C871" s="48" t="s">
        <v>10</v>
      </c>
      <c r="D871" s="49">
        <f>+D869*2-(D912/10.76)</f>
        <v>331.31199999999995</v>
      </c>
      <c r="E871" s="50"/>
      <c r="F871" s="50"/>
      <c r="G871" s="14"/>
    </row>
    <row r="872" spans="1:7" ht="15">
      <c r="A872" s="29">
        <f t="shared" si="15"/>
        <v>11.027999999999984</v>
      </c>
      <c r="B872" s="47" t="s">
        <v>293</v>
      </c>
      <c r="C872" s="48" t="s">
        <v>10</v>
      </c>
      <c r="D872" s="49">
        <f>+D871</f>
        <v>331.31199999999995</v>
      </c>
      <c r="E872" s="50"/>
      <c r="F872" s="50"/>
      <c r="G872" s="14"/>
    </row>
    <row r="873" spans="1:7" ht="15">
      <c r="A873" s="29">
        <f t="shared" si="15"/>
        <v>11.028999999999984</v>
      </c>
      <c r="B873" s="51" t="s">
        <v>309</v>
      </c>
      <c r="C873" s="48" t="s">
        <v>11</v>
      </c>
      <c r="D873" s="49">
        <f>+D872*0.8321</f>
        <v>275.68471519999997</v>
      </c>
      <c r="E873" s="50"/>
      <c r="F873" s="50"/>
      <c r="G873" s="14"/>
    </row>
    <row r="874" spans="1:7" ht="15">
      <c r="A874" s="29">
        <f t="shared" si="15"/>
        <v>11.029999999999983</v>
      </c>
      <c r="B874" s="47" t="s">
        <v>294</v>
      </c>
      <c r="C874" s="48" t="s">
        <v>10</v>
      </c>
      <c r="D874" s="49">
        <v>35.28</v>
      </c>
      <c r="E874" s="50"/>
      <c r="F874" s="50"/>
      <c r="G874" s="14"/>
    </row>
    <row r="875" spans="1:7" ht="15">
      <c r="A875" s="29">
        <f t="shared" si="15"/>
        <v>11.030999999999983</v>
      </c>
      <c r="B875" s="47" t="s">
        <v>299</v>
      </c>
      <c r="C875" s="48" t="s">
        <v>10</v>
      </c>
      <c r="D875" s="49">
        <v>30.76</v>
      </c>
      <c r="E875" s="50"/>
      <c r="F875" s="50"/>
      <c r="G875" s="14"/>
    </row>
    <row r="876" spans="1:7" ht="15">
      <c r="A876" s="29">
        <f t="shared" si="15"/>
        <v>11.031999999999982</v>
      </c>
      <c r="B876" s="47" t="s">
        <v>300</v>
      </c>
      <c r="C876" s="48" t="s">
        <v>11</v>
      </c>
      <c r="D876" s="49">
        <f>11*2</f>
        <v>22</v>
      </c>
      <c r="E876" s="50"/>
      <c r="F876" s="50"/>
      <c r="G876" s="14"/>
    </row>
    <row r="877" spans="1:7" ht="25.5">
      <c r="A877" s="29">
        <f t="shared" si="15"/>
        <v>11.032999999999982</v>
      </c>
      <c r="B877" s="47" t="s">
        <v>622</v>
      </c>
      <c r="C877" s="48" t="s">
        <v>10</v>
      </c>
      <c r="D877" s="49">
        <f>6.7*3.2</f>
        <v>21.44</v>
      </c>
      <c r="E877" s="50"/>
      <c r="F877" s="50"/>
      <c r="G877" s="14"/>
    </row>
    <row r="878" spans="1:7" ht="15">
      <c r="A878" s="29">
        <f t="shared" si="15"/>
        <v>11.033999999999981</v>
      </c>
      <c r="B878" s="47" t="s">
        <v>621</v>
      </c>
      <c r="C878" s="48" t="s">
        <v>10</v>
      </c>
      <c r="D878" s="49">
        <f>+D877</f>
        <v>21.44</v>
      </c>
      <c r="E878" s="50"/>
      <c r="F878" s="50"/>
      <c r="G878" s="14"/>
    </row>
    <row r="879" spans="1:7" ht="15">
      <c r="A879" s="29">
        <f t="shared" si="15"/>
        <v>11.03499999999998</v>
      </c>
      <c r="B879" s="21" t="s">
        <v>316</v>
      </c>
      <c r="C879" s="48"/>
      <c r="D879" s="49"/>
      <c r="E879" s="50"/>
      <c r="F879" s="50"/>
      <c r="G879" s="14"/>
    </row>
    <row r="880" spans="1:7" ht="15">
      <c r="A880" s="29">
        <f t="shared" si="15"/>
        <v>11.03599999999998</v>
      </c>
      <c r="B880" s="47" t="s">
        <v>317</v>
      </c>
      <c r="C880" s="48" t="s">
        <v>10</v>
      </c>
      <c r="D880" s="49">
        <f>100.1*1.05</f>
        <v>105.105</v>
      </c>
      <c r="E880" s="50"/>
      <c r="F880" s="50"/>
      <c r="G880" s="14"/>
    </row>
    <row r="881" spans="1:7" ht="15">
      <c r="A881" s="29">
        <f t="shared" si="15"/>
        <v>11.03699999999998</v>
      </c>
      <c r="B881" s="47" t="s">
        <v>359</v>
      </c>
      <c r="C881" s="48" t="s">
        <v>11</v>
      </c>
      <c r="D881" s="49">
        <f>2*12.8</f>
        <v>25.6</v>
      </c>
      <c r="E881" s="50"/>
      <c r="F881" s="50"/>
      <c r="G881" s="14"/>
    </row>
    <row r="882" spans="1:7" ht="15">
      <c r="A882" s="29">
        <f t="shared" si="15"/>
        <v>11.037999999999979</v>
      </c>
      <c r="B882" s="47" t="s">
        <v>358</v>
      </c>
      <c r="C882" s="48" t="s">
        <v>11</v>
      </c>
      <c r="D882" s="49">
        <f>6*11.2</f>
        <v>67.19999999999999</v>
      </c>
      <c r="E882" s="50"/>
      <c r="F882" s="50"/>
      <c r="G882" s="14"/>
    </row>
    <row r="883" spans="1:7" ht="15">
      <c r="A883" s="29">
        <f t="shared" si="15"/>
        <v>11.038999999999978</v>
      </c>
      <c r="B883" s="47" t="s">
        <v>320</v>
      </c>
      <c r="C883" s="48" t="s">
        <v>11</v>
      </c>
      <c r="D883" s="49">
        <f>11.2*2</f>
        <v>22.4</v>
      </c>
      <c r="E883" s="50"/>
      <c r="F883" s="50"/>
      <c r="G883" s="14"/>
    </row>
    <row r="884" spans="1:7" ht="15">
      <c r="A884" s="29">
        <f t="shared" si="15"/>
        <v>11.039999999999978</v>
      </c>
      <c r="B884" s="47" t="s">
        <v>318</v>
      </c>
      <c r="C884" s="48" t="s">
        <v>319</v>
      </c>
      <c r="D884" s="49">
        <v>1</v>
      </c>
      <c r="E884" s="50"/>
      <c r="F884" s="50"/>
      <c r="G884" s="14"/>
    </row>
    <row r="885" spans="1:7" ht="15">
      <c r="A885" s="29">
        <f t="shared" si="15"/>
        <v>11.040999999999977</v>
      </c>
      <c r="B885" s="21" t="s">
        <v>322</v>
      </c>
      <c r="C885" s="48"/>
      <c r="D885" s="49"/>
      <c r="E885" s="50"/>
      <c r="F885" s="50"/>
      <c r="G885" s="14"/>
    </row>
    <row r="886" spans="1:7" ht="15">
      <c r="A886" s="29">
        <f t="shared" si="15"/>
        <v>11.041999999999977</v>
      </c>
      <c r="B886" s="47" t="s">
        <v>325</v>
      </c>
      <c r="C886" s="48" t="s">
        <v>10</v>
      </c>
      <c r="D886" s="49">
        <f>134*1.05</f>
        <v>140.70000000000002</v>
      </c>
      <c r="E886" s="50"/>
      <c r="F886" s="50"/>
      <c r="G886" s="14"/>
    </row>
    <row r="887" spans="1:7" ht="15">
      <c r="A887" s="29">
        <f t="shared" si="15"/>
        <v>11.042999999999976</v>
      </c>
      <c r="B887" s="47" t="s">
        <v>323</v>
      </c>
      <c r="C887" s="48" t="s">
        <v>11</v>
      </c>
      <c r="D887" s="49">
        <v>227.7</v>
      </c>
      <c r="E887" s="50"/>
      <c r="F887" s="50"/>
      <c r="G887" s="14"/>
    </row>
    <row r="888" spans="1:7" ht="15">
      <c r="A888" s="29">
        <f t="shared" si="15"/>
        <v>11.043999999999976</v>
      </c>
      <c r="B888" s="47" t="s">
        <v>326</v>
      </c>
      <c r="C888" s="48" t="s">
        <v>10</v>
      </c>
      <c r="D888" s="49">
        <f>+D886+(D889*0.07)</f>
        <v>146.23980000000003</v>
      </c>
      <c r="E888" s="50"/>
      <c r="F888" s="50"/>
      <c r="G888" s="14"/>
    </row>
    <row r="889" spans="1:7" ht="15">
      <c r="A889" s="29">
        <f t="shared" si="15"/>
        <v>11.044999999999975</v>
      </c>
      <c r="B889" s="47" t="s">
        <v>324</v>
      </c>
      <c r="C889" s="48" t="s">
        <v>11</v>
      </c>
      <c r="D889" s="49">
        <v>79.14</v>
      </c>
      <c r="E889" s="50"/>
      <c r="F889" s="50"/>
      <c r="G889" s="14"/>
    </row>
    <row r="890" spans="1:7" ht="15">
      <c r="A890" s="29">
        <f t="shared" si="15"/>
        <v>11.045999999999975</v>
      </c>
      <c r="B890" s="21" t="s">
        <v>363</v>
      </c>
      <c r="C890" s="48"/>
      <c r="D890" s="49"/>
      <c r="E890" s="50"/>
      <c r="F890" s="50"/>
      <c r="G890" s="14"/>
    </row>
    <row r="891" spans="1:7" ht="15">
      <c r="A891" s="29">
        <f t="shared" si="15"/>
        <v>11.046999999999974</v>
      </c>
      <c r="B891" s="47" t="s">
        <v>379</v>
      </c>
      <c r="C891" s="48" t="s">
        <v>12</v>
      </c>
      <c r="D891" s="49">
        <v>1</v>
      </c>
      <c r="E891" s="50"/>
      <c r="F891" s="50"/>
      <c r="G891" s="14"/>
    </row>
    <row r="892" spans="1:7" ht="15">
      <c r="A892" s="29">
        <f t="shared" si="15"/>
        <v>11.047999999999973</v>
      </c>
      <c r="B892" s="47" t="s">
        <v>380</v>
      </c>
      <c r="C892" s="48" t="s">
        <v>12</v>
      </c>
      <c r="D892" s="49">
        <v>1</v>
      </c>
      <c r="E892" s="50"/>
      <c r="F892" s="50"/>
      <c r="G892" s="14"/>
    </row>
    <row r="893" spans="1:7" ht="15">
      <c r="A893" s="29">
        <f t="shared" si="15"/>
        <v>11.048999999999973</v>
      </c>
      <c r="B893" s="47" t="s">
        <v>381</v>
      </c>
      <c r="C893" s="48" t="s">
        <v>12</v>
      </c>
      <c r="D893" s="49">
        <v>1</v>
      </c>
      <c r="E893" s="50"/>
      <c r="F893" s="50"/>
      <c r="G893" s="14"/>
    </row>
    <row r="894" spans="1:7" ht="25.5">
      <c r="A894" s="29">
        <f t="shared" si="15"/>
        <v>11.049999999999972</v>
      </c>
      <c r="B894" s="47" t="s">
        <v>403</v>
      </c>
      <c r="C894" s="48" t="s">
        <v>27</v>
      </c>
      <c r="D894" s="49">
        <v>2</v>
      </c>
      <c r="E894" s="50"/>
      <c r="F894" s="50"/>
      <c r="G894" s="14"/>
    </row>
    <row r="895" spans="1:7" ht="15">
      <c r="A895" s="29">
        <f t="shared" si="15"/>
        <v>11.050999999999972</v>
      </c>
      <c r="B895" s="47" t="s">
        <v>368</v>
      </c>
      <c r="C895" s="48" t="s">
        <v>364</v>
      </c>
      <c r="D895" s="49">
        <f>3*3.28</f>
        <v>9.84</v>
      </c>
      <c r="E895" s="50"/>
      <c r="F895" s="50"/>
      <c r="G895" s="14"/>
    </row>
    <row r="896" spans="1:7" ht="25.5">
      <c r="A896" s="29">
        <f t="shared" si="15"/>
        <v>11.051999999999971</v>
      </c>
      <c r="B896" s="47" t="s">
        <v>371</v>
      </c>
      <c r="C896" s="48" t="s">
        <v>27</v>
      </c>
      <c r="D896" s="49">
        <v>2</v>
      </c>
      <c r="E896" s="50"/>
      <c r="F896" s="50"/>
      <c r="G896" s="14"/>
    </row>
    <row r="897" spans="1:7" ht="15">
      <c r="A897" s="29">
        <f t="shared" si="15"/>
        <v>11.05299999999997</v>
      </c>
      <c r="B897" s="47" t="s">
        <v>367</v>
      </c>
      <c r="C897" s="48" t="s">
        <v>27</v>
      </c>
      <c r="D897" s="49">
        <v>2</v>
      </c>
      <c r="E897" s="50"/>
      <c r="F897" s="50"/>
      <c r="G897" s="14"/>
    </row>
    <row r="898" spans="1:7" ht="25.5">
      <c r="A898" s="29">
        <f t="shared" si="15"/>
        <v>11.05399999999997</v>
      </c>
      <c r="B898" s="47" t="s">
        <v>366</v>
      </c>
      <c r="C898" s="48" t="s">
        <v>27</v>
      </c>
      <c r="D898" s="49">
        <v>2</v>
      </c>
      <c r="E898" s="50"/>
      <c r="F898" s="50"/>
      <c r="G898" s="14"/>
    </row>
    <row r="899" spans="1:7" ht="25.5">
      <c r="A899" s="29">
        <f t="shared" si="15"/>
        <v>11.05499999999997</v>
      </c>
      <c r="B899" s="47" t="s">
        <v>372</v>
      </c>
      <c r="C899" s="48" t="s">
        <v>27</v>
      </c>
      <c r="D899" s="49">
        <v>2</v>
      </c>
      <c r="E899" s="50"/>
      <c r="F899" s="50"/>
      <c r="G899" s="14"/>
    </row>
    <row r="900" spans="1:7" ht="15">
      <c r="A900" s="29">
        <f t="shared" si="15"/>
        <v>11.055999999999969</v>
      </c>
      <c r="B900" s="47" t="s">
        <v>365</v>
      </c>
      <c r="C900" s="48" t="s">
        <v>27</v>
      </c>
      <c r="D900" s="49">
        <v>2</v>
      </c>
      <c r="E900" s="50"/>
      <c r="F900" s="50"/>
      <c r="G900" s="14"/>
    </row>
    <row r="901" spans="1:7" ht="15">
      <c r="A901" s="29">
        <f t="shared" si="15"/>
        <v>11.056999999999968</v>
      </c>
      <c r="B901" s="47" t="s">
        <v>374</v>
      </c>
      <c r="C901" s="48" t="s">
        <v>27</v>
      </c>
      <c r="D901" s="49">
        <v>2</v>
      </c>
      <c r="E901" s="50"/>
      <c r="F901" s="50"/>
      <c r="G901" s="14"/>
    </row>
    <row r="902" spans="1:7" ht="15">
      <c r="A902" s="29">
        <f t="shared" si="15"/>
        <v>11.057999999999968</v>
      </c>
      <c r="B902" s="47" t="s">
        <v>375</v>
      </c>
      <c r="C902" s="48" t="s">
        <v>27</v>
      </c>
      <c r="D902" s="49">
        <v>2</v>
      </c>
      <c r="E902" s="50"/>
      <c r="F902" s="50"/>
      <c r="G902" s="14"/>
    </row>
    <row r="903" spans="1:7" ht="15">
      <c r="A903" s="29">
        <f t="shared" si="15"/>
        <v>11.058999999999967</v>
      </c>
      <c r="B903" s="47" t="s">
        <v>376</v>
      </c>
      <c r="C903" s="48" t="s">
        <v>27</v>
      </c>
      <c r="D903" s="49">
        <v>2</v>
      </c>
      <c r="E903" s="50"/>
      <c r="F903" s="50"/>
      <c r="G903" s="14"/>
    </row>
    <row r="904" spans="1:7" ht="15">
      <c r="A904" s="29">
        <f t="shared" si="15"/>
        <v>11.059999999999967</v>
      </c>
      <c r="B904" s="47" t="s">
        <v>377</v>
      </c>
      <c r="C904" s="48" t="s">
        <v>27</v>
      </c>
      <c r="D904" s="49">
        <v>2</v>
      </c>
      <c r="E904" s="50"/>
      <c r="F904" s="50"/>
      <c r="G904" s="14"/>
    </row>
    <row r="905" spans="1:7" ht="15">
      <c r="A905" s="29">
        <f t="shared" si="15"/>
        <v>11.060999999999966</v>
      </c>
      <c r="B905" s="47" t="s">
        <v>383</v>
      </c>
      <c r="C905" s="48" t="s">
        <v>13</v>
      </c>
      <c r="D905" s="49">
        <v>2</v>
      </c>
      <c r="E905" s="50"/>
      <c r="F905" s="50"/>
      <c r="G905" s="14"/>
    </row>
    <row r="906" spans="1:7" ht="15">
      <c r="A906" s="29">
        <f t="shared" si="15"/>
        <v>11.061999999999966</v>
      </c>
      <c r="B906" s="21" t="s">
        <v>327</v>
      </c>
      <c r="C906" s="48"/>
      <c r="D906" s="49"/>
      <c r="E906" s="50"/>
      <c r="F906" s="50"/>
      <c r="G906" s="14"/>
    </row>
    <row r="907" spans="1:7" ht="15">
      <c r="A907" s="29">
        <f t="shared" si="15"/>
        <v>11.062999999999965</v>
      </c>
      <c r="B907" s="47" t="s">
        <v>330</v>
      </c>
      <c r="C907" s="48" t="s">
        <v>13</v>
      </c>
      <c r="D907" s="49">
        <v>1</v>
      </c>
      <c r="E907" s="50"/>
      <c r="F907" s="50"/>
      <c r="G907" s="14"/>
    </row>
    <row r="908" spans="1:7" ht="15">
      <c r="A908" s="29">
        <f t="shared" si="15"/>
        <v>11.063999999999965</v>
      </c>
      <c r="B908" s="47" t="s">
        <v>331</v>
      </c>
      <c r="C908" s="48" t="s">
        <v>13</v>
      </c>
      <c r="D908" s="49">
        <v>1</v>
      </c>
      <c r="E908" s="50"/>
      <c r="F908" s="50"/>
      <c r="G908" s="14"/>
    </row>
    <row r="909" spans="1:7" ht="15">
      <c r="A909" s="29">
        <f t="shared" si="15"/>
        <v>11.064999999999964</v>
      </c>
      <c r="B909" s="47" t="s">
        <v>332</v>
      </c>
      <c r="C909" s="48" t="s">
        <v>13</v>
      </c>
      <c r="D909" s="49">
        <v>2</v>
      </c>
      <c r="E909" s="50"/>
      <c r="F909" s="50"/>
      <c r="G909" s="14"/>
    </row>
    <row r="910" spans="1:7" ht="15">
      <c r="A910" s="29">
        <f t="shared" si="15"/>
        <v>11.065999999999963</v>
      </c>
      <c r="B910" s="47" t="s">
        <v>401</v>
      </c>
      <c r="C910" s="48" t="s">
        <v>13</v>
      </c>
      <c r="D910" s="49">
        <v>2</v>
      </c>
      <c r="E910" s="50"/>
      <c r="F910" s="50"/>
      <c r="G910" s="14"/>
    </row>
    <row r="911" spans="1:7" ht="15">
      <c r="A911" s="29">
        <f t="shared" si="15"/>
        <v>11.066999999999963</v>
      </c>
      <c r="B911" s="47" t="s">
        <v>329</v>
      </c>
      <c r="C911" s="48" t="s">
        <v>13</v>
      </c>
      <c r="D911" s="49">
        <f>SUM(D907:D910)</f>
        <v>6</v>
      </c>
      <c r="E911" s="50"/>
      <c r="F911" s="50"/>
      <c r="G911" s="14"/>
    </row>
    <row r="912" spans="1:7" ht="15">
      <c r="A912" s="29">
        <f aca="true" t="shared" si="16" ref="A912:A917">+A911+0.001</f>
        <v>11.067999999999962</v>
      </c>
      <c r="B912" s="47" t="s">
        <v>334</v>
      </c>
      <c r="C912" s="48" t="s">
        <v>159</v>
      </c>
      <c r="D912" s="49">
        <f>42.48*10.76</f>
        <v>457.0848</v>
      </c>
      <c r="E912" s="50"/>
      <c r="F912" s="50"/>
      <c r="G912" s="14"/>
    </row>
    <row r="913" spans="1:7" ht="15">
      <c r="A913" s="29">
        <f t="shared" si="16"/>
        <v>11.068999999999962</v>
      </c>
      <c r="B913" s="21" t="s">
        <v>338</v>
      </c>
      <c r="C913" s="48"/>
      <c r="D913" s="49"/>
      <c r="E913" s="50"/>
      <c r="F913" s="50"/>
      <c r="G913" s="14"/>
    </row>
    <row r="914" spans="1:7" ht="15">
      <c r="A914" s="29">
        <f t="shared" si="16"/>
        <v>11.069999999999961</v>
      </c>
      <c r="B914" s="47" t="s">
        <v>336</v>
      </c>
      <c r="C914" s="48" t="s">
        <v>11</v>
      </c>
      <c r="D914" s="49">
        <v>54.6</v>
      </c>
      <c r="E914" s="50"/>
      <c r="F914" s="50"/>
      <c r="G914" s="14"/>
    </row>
    <row r="915" spans="1:7" ht="15">
      <c r="A915" s="29">
        <f t="shared" si="16"/>
        <v>11.07099999999996</v>
      </c>
      <c r="B915" s="47" t="s">
        <v>335</v>
      </c>
      <c r="C915" s="48" t="s">
        <v>16</v>
      </c>
      <c r="D915" s="49">
        <f>+D916*0.3</f>
        <v>19.656</v>
      </c>
      <c r="E915" s="50"/>
      <c r="F915" s="50"/>
      <c r="G915" s="14"/>
    </row>
    <row r="916" spans="1:7" ht="15">
      <c r="A916" s="29">
        <f t="shared" si="16"/>
        <v>11.07199999999996</v>
      </c>
      <c r="B916" s="47" t="s">
        <v>337</v>
      </c>
      <c r="C916" s="48" t="s">
        <v>10</v>
      </c>
      <c r="D916" s="49">
        <f>54.6*1.2</f>
        <v>65.52</v>
      </c>
      <c r="E916" s="50"/>
      <c r="F916" s="50"/>
      <c r="G916" s="14"/>
    </row>
    <row r="917" spans="1:7" ht="15">
      <c r="A917" s="29">
        <f t="shared" si="16"/>
        <v>11.07299999999996</v>
      </c>
      <c r="B917" s="21" t="s">
        <v>339</v>
      </c>
      <c r="C917" s="48"/>
      <c r="D917" s="49"/>
      <c r="E917" s="50"/>
      <c r="F917" s="50"/>
      <c r="G917" s="14"/>
    </row>
    <row r="918" spans="1:7" ht="15">
      <c r="A918" s="29">
        <f>+A917+0.001</f>
        <v>11.073999999999959</v>
      </c>
      <c r="B918" s="47" t="s">
        <v>342</v>
      </c>
      <c r="C918" s="48" t="s">
        <v>10</v>
      </c>
      <c r="D918" s="49">
        <f>+D872+D866</f>
        <v>447.78039999999993</v>
      </c>
      <c r="E918" s="50"/>
      <c r="F918" s="50"/>
      <c r="G918" s="14"/>
    </row>
    <row r="919" spans="1:7" ht="15">
      <c r="A919" s="29">
        <f>+A918+0.001</f>
        <v>11.074999999999958</v>
      </c>
      <c r="B919" s="47" t="s">
        <v>340</v>
      </c>
      <c r="C919" s="48" t="s">
        <v>10</v>
      </c>
      <c r="D919" s="49">
        <f>+((D872+D864)*1.07)*0.6</f>
        <v>265.35914399999996</v>
      </c>
      <c r="E919" s="50"/>
      <c r="F919" s="50"/>
      <c r="G919" s="14"/>
    </row>
    <row r="920" spans="1:7" ht="15">
      <c r="A920" s="29">
        <f>+A919+0.001</f>
        <v>11.075999999999958</v>
      </c>
      <c r="B920" s="47" t="s">
        <v>341</v>
      </c>
      <c r="C920" s="48" t="s">
        <v>10</v>
      </c>
      <c r="D920" s="49">
        <f>+D918-D919</f>
        <v>182.42125599999997</v>
      </c>
      <c r="E920" s="50"/>
      <c r="F920" s="50"/>
      <c r="G920" s="14"/>
    </row>
    <row r="921" spans="1:7" ht="15.75" thickBot="1">
      <c r="A921" s="29"/>
      <c r="B921" s="6"/>
      <c r="C921" s="23"/>
      <c r="D921" s="10"/>
      <c r="E921" s="13"/>
      <c r="F921" s="13"/>
      <c r="G921" s="14"/>
    </row>
    <row r="922" spans="1:7" ht="15.75" thickBot="1">
      <c r="A922" s="29"/>
      <c r="B922" s="6"/>
      <c r="C922" s="23"/>
      <c r="D922" s="10"/>
      <c r="E922" s="71" t="str">
        <f>+B844</f>
        <v>Aula para Muliuso / Salón de Ciencias / Artes Dramatica / Danza / Otros</v>
      </c>
      <c r="F922" s="72"/>
      <c r="G922" s="16">
        <f>SUM(F844:F921)</f>
        <v>0</v>
      </c>
    </row>
    <row r="923" ht="15.75" thickBot="1"/>
    <row r="924" spans="1:7" ht="15.75" thickBot="1">
      <c r="A924" s="28">
        <v>12</v>
      </c>
      <c r="B924" s="66" t="s">
        <v>410</v>
      </c>
      <c r="C924" s="23"/>
      <c r="D924" s="10"/>
      <c r="E924" s="13"/>
      <c r="F924" s="13"/>
      <c r="G924" s="14"/>
    </row>
    <row r="925" spans="1:7" ht="15">
      <c r="A925" s="29"/>
      <c r="B925" s="21" t="s">
        <v>618</v>
      </c>
      <c r="C925" s="23"/>
      <c r="D925" s="10"/>
      <c r="E925" s="13"/>
      <c r="F925" s="13"/>
      <c r="G925" s="14"/>
    </row>
    <row r="926" spans="1:7" ht="15">
      <c r="A926" s="29">
        <v>12.001</v>
      </c>
      <c r="B926" s="6" t="s">
        <v>404</v>
      </c>
      <c r="C926" s="23" t="s">
        <v>15</v>
      </c>
      <c r="D926" s="10">
        <f>0.9*0.9*114</f>
        <v>92.34</v>
      </c>
      <c r="E926" s="13"/>
      <c r="F926" s="13"/>
      <c r="G926" s="14"/>
    </row>
    <row r="927" spans="1:7" ht="15">
      <c r="A927" s="29">
        <f aca="true" t="shared" si="17" ref="A927:A940">+A926+0.001</f>
        <v>12.001999999999999</v>
      </c>
      <c r="B927" s="6" t="s">
        <v>405</v>
      </c>
      <c r="C927" s="23" t="s">
        <v>0</v>
      </c>
      <c r="D927" s="10">
        <f>0.9*0.9*0.25*114</f>
        <v>23.085</v>
      </c>
      <c r="E927" s="13"/>
      <c r="F927" s="13"/>
      <c r="G927" s="14"/>
    </row>
    <row r="928" spans="1:7" ht="15">
      <c r="A928" s="29">
        <f t="shared" si="17"/>
        <v>12.002999999999998</v>
      </c>
      <c r="B928" s="6" t="s">
        <v>406</v>
      </c>
      <c r="C928" s="23" t="s">
        <v>0</v>
      </c>
      <c r="D928" s="10">
        <f>0.2*0.2*3.6*114</f>
        <v>16.416000000000004</v>
      </c>
      <c r="E928" s="13"/>
      <c r="F928" s="13"/>
      <c r="G928" s="14"/>
    </row>
    <row r="929" spans="1:7" ht="15">
      <c r="A929" s="29">
        <f t="shared" si="17"/>
        <v>12.003999999999998</v>
      </c>
      <c r="B929" s="6" t="s">
        <v>409</v>
      </c>
      <c r="C929" s="23" t="s">
        <v>11</v>
      </c>
      <c r="D929" s="10">
        <f>158.69*2</f>
        <v>317.38</v>
      </c>
      <c r="E929" s="13"/>
      <c r="F929" s="13"/>
      <c r="G929" s="14"/>
    </row>
    <row r="930" spans="1:7" ht="15">
      <c r="A930" s="29">
        <f t="shared" si="17"/>
        <v>12.004999999999997</v>
      </c>
      <c r="B930" s="6" t="s">
        <v>407</v>
      </c>
      <c r="C930" s="23" t="s">
        <v>0</v>
      </c>
      <c r="D930" s="10">
        <f>159*0.2*0.2*2</f>
        <v>12.72</v>
      </c>
      <c r="E930" s="13"/>
      <c r="F930" s="13"/>
      <c r="G930" s="14"/>
    </row>
    <row r="931" spans="1:7" ht="15">
      <c r="A931" s="29">
        <f t="shared" si="17"/>
        <v>12.005999999999997</v>
      </c>
      <c r="B931" s="6" t="s">
        <v>408</v>
      </c>
      <c r="C931" s="23" t="s">
        <v>0</v>
      </c>
      <c r="D931" s="10">
        <f>58*0.2*0.15*2.7</f>
        <v>4.698000000000001</v>
      </c>
      <c r="E931" s="13"/>
      <c r="F931" s="13"/>
      <c r="G931" s="14"/>
    </row>
    <row r="932" spans="1:7" ht="15">
      <c r="A932" s="29">
        <f t="shared" si="17"/>
        <v>12.006999999999996</v>
      </c>
      <c r="B932" s="6" t="s">
        <v>359</v>
      </c>
      <c r="C932" s="23" t="s">
        <v>11</v>
      </c>
      <c r="D932" s="10">
        <v>185.6</v>
      </c>
      <c r="E932" s="13"/>
      <c r="F932" s="13"/>
      <c r="G932" s="14"/>
    </row>
    <row r="933" spans="1:7" ht="15">
      <c r="A933" s="29">
        <f t="shared" si="17"/>
        <v>12.007999999999996</v>
      </c>
      <c r="B933" s="6" t="s">
        <v>411</v>
      </c>
      <c r="C933" s="23" t="s">
        <v>11</v>
      </c>
      <c r="D933" s="10">
        <v>634.4</v>
      </c>
      <c r="E933" s="13"/>
      <c r="F933" s="13"/>
      <c r="G933" s="14"/>
    </row>
    <row r="934" spans="1:7" ht="18" customHeight="1">
      <c r="A934" s="29">
        <f t="shared" si="17"/>
        <v>12.008999999999995</v>
      </c>
      <c r="B934" s="6" t="s">
        <v>413</v>
      </c>
      <c r="C934" s="23" t="s">
        <v>10</v>
      </c>
      <c r="D934" s="10">
        <f>158.69*3.2</f>
        <v>507.808</v>
      </c>
      <c r="E934" s="13"/>
      <c r="F934" s="13"/>
      <c r="G934" s="14"/>
    </row>
    <row r="935" spans="1:7" ht="15">
      <c r="A935" s="29">
        <f t="shared" si="17"/>
        <v>12.009999999999994</v>
      </c>
      <c r="B935" s="6" t="s">
        <v>325</v>
      </c>
      <c r="C935" s="23" t="s">
        <v>10</v>
      </c>
      <c r="D935" s="10">
        <f>158.69*2.7</f>
        <v>428.463</v>
      </c>
      <c r="E935" s="13"/>
      <c r="F935" s="13"/>
      <c r="G935" s="14"/>
    </row>
    <row r="936" spans="1:7" ht="15">
      <c r="A936" s="29">
        <f t="shared" si="17"/>
        <v>12.010999999999994</v>
      </c>
      <c r="B936" s="6" t="s">
        <v>323</v>
      </c>
      <c r="C936" s="23" t="s">
        <v>11</v>
      </c>
      <c r="D936" s="10">
        <f>+D935*1.413</f>
        <v>605.418219</v>
      </c>
      <c r="E936" s="13"/>
      <c r="F936" s="13"/>
      <c r="G936" s="14"/>
    </row>
    <row r="937" spans="1:7" ht="15">
      <c r="A937" s="29">
        <f t="shared" si="17"/>
        <v>12.011999999999993</v>
      </c>
      <c r="B937" s="6" t="s">
        <v>326</v>
      </c>
      <c r="C937" s="23" t="s">
        <v>10</v>
      </c>
      <c r="D937" s="10">
        <f>+D935</f>
        <v>428.463</v>
      </c>
      <c r="E937" s="13"/>
      <c r="F937" s="13"/>
      <c r="G937" s="14"/>
    </row>
    <row r="938" spans="1:7" ht="15">
      <c r="A938" s="29">
        <f t="shared" si="17"/>
        <v>12.012999999999993</v>
      </c>
      <c r="B938" s="6" t="s">
        <v>412</v>
      </c>
      <c r="C938" s="23" t="s">
        <v>11</v>
      </c>
      <c r="D938" s="10">
        <f>0.7*114</f>
        <v>79.8</v>
      </c>
      <c r="E938" s="13"/>
      <c r="F938" s="13"/>
      <c r="G938" s="14"/>
    </row>
    <row r="939" spans="1:7" ht="15">
      <c r="A939" s="29">
        <f t="shared" si="17"/>
        <v>12.013999999999992</v>
      </c>
      <c r="B939" s="6" t="s">
        <v>342</v>
      </c>
      <c r="C939" s="23" t="s">
        <v>10</v>
      </c>
      <c r="D939" s="10">
        <v>216.88</v>
      </c>
      <c r="E939" s="13"/>
      <c r="F939" s="13"/>
      <c r="G939" s="14"/>
    </row>
    <row r="940" spans="1:7" ht="15">
      <c r="A940" s="29">
        <f t="shared" si="17"/>
        <v>12.014999999999992</v>
      </c>
      <c r="B940" s="6" t="s">
        <v>414</v>
      </c>
      <c r="C940" s="23" t="s">
        <v>10</v>
      </c>
      <c r="D940" s="10">
        <f>+D939</f>
        <v>216.88</v>
      </c>
      <c r="E940" s="13"/>
      <c r="F940" s="13"/>
      <c r="G940" s="14"/>
    </row>
    <row r="941" spans="1:7" ht="15.75" thickBot="1">
      <c r="A941" s="29"/>
      <c r="B941" s="6"/>
      <c r="C941" s="23"/>
      <c r="D941" s="10"/>
      <c r="E941" s="13"/>
      <c r="F941" s="13"/>
      <c r="G941" s="14"/>
    </row>
    <row r="942" spans="1:7" ht="15.75" thickBot="1">
      <c r="A942" s="29"/>
      <c r="B942" s="6"/>
      <c r="C942" s="23"/>
      <c r="D942" s="10"/>
      <c r="E942" s="71" t="str">
        <f>+B924</f>
        <v>Pasarelas de Interconexiones</v>
      </c>
      <c r="F942" s="72"/>
      <c r="G942" s="16">
        <f>SUM(F923:F941)</f>
        <v>0</v>
      </c>
    </row>
    <row r="943" ht="15">
      <c r="A943" s="29"/>
    </row>
    <row r="944" ht="15.75" thickBot="1">
      <c r="A944" s="29"/>
    </row>
    <row r="945" spans="1:2" ht="16.5" thickBot="1">
      <c r="A945" s="29">
        <v>15</v>
      </c>
      <c r="B945" s="61" t="s">
        <v>385</v>
      </c>
    </row>
    <row r="946" spans="1:4" ht="30">
      <c r="A946" s="29">
        <v>15.001</v>
      </c>
      <c r="B946" s="41" t="s">
        <v>625</v>
      </c>
      <c r="C946" s="44" t="s">
        <v>623</v>
      </c>
      <c r="D946" s="45">
        <v>4</v>
      </c>
    </row>
    <row r="947" spans="1:4" ht="30">
      <c r="A947" s="29">
        <f>+A946+0.001</f>
        <v>15.001999999999999</v>
      </c>
      <c r="B947" s="41" t="s">
        <v>773</v>
      </c>
      <c r="C947" s="44" t="s">
        <v>118</v>
      </c>
      <c r="D947" s="45">
        <f>22*4+(3+8+4)</f>
        <v>103</v>
      </c>
    </row>
    <row r="948" ht="15.75" thickBot="1">
      <c r="A948" s="29"/>
    </row>
    <row r="949" spans="1:7" ht="15.75" thickBot="1">
      <c r="A949" s="29"/>
      <c r="E949" s="71" t="str">
        <f>+B945</f>
        <v>MISCELANEOS </v>
      </c>
      <c r="F949" s="72"/>
      <c r="G949" s="16">
        <f>SUM(F946:F947)</f>
        <v>0</v>
      </c>
    </row>
    <row r="950" ht="15.75" thickBot="1">
      <c r="A950" s="29"/>
    </row>
    <row r="951" spans="1:2" ht="15.75" thickBot="1">
      <c r="A951" s="29"/>
      <c r="B951" s="66" t="s">
        <v>619</v>
      </c>
    </row>
    <row r="952" spans="1:2" ht="15">
      <c r="A952" s="29">
        <v>16</v>
      </c>
      <c r="B952" s="21" t="s">
        <v>754</v>
      </c>
    </row>
    <row r="953" spans="1:4" ht="60">
      <c r="A953" s="29">
        <f>+A952+0.001</f>
        <v>16.001</v>
      </c>
      <c r="B953" s="41" t="s">
        <v>724</v>
      </c>
      <c r="C953" s="44" t="s">
        <v>177</v>
      </c>
      <c r="D953" s="45">
        <v>98</v>
      </c>
    </row>
    <row r="954" spans="1:4" ht="75">
      <c r="A954" s="29">
        <f aca="true" t="shared" si="18" ref="A954:A985">+A953+0.001</f>
        <v>16.002000000000002</v>
      </c>
      <c r="B954" s="41" t="s">
        <v>725</v>
      </c>
      <c r="C954" s="44" t="s">
        <v>177</v>
      </c>
      <c r="D954" s="45">
        <v>12</v>
      </c>
    </row>
    <row r="955" spans="1:4" ht="30">
      <c r="A955" s="29">
        <f t="shared" si="18"/>
        <v>16.003000000000004</v>
      </c>
      <c r="B955" s="41" t="s">
        <v>726</v>
      </c>
      <c r="C955" s="44" t="s">
        <v>177</v>
      </c>
      <c r="D955" s="45">
        <f>+D953</f>
        <v>98</v>
      </c>
    </row>
    <row r="956" spans="1:4" ht="75">
      <c r="A956" s="29">
        <f t="shared" si="18"/>
        <v>16.004000000000005</v>
      </c>
      <c r="B956" s="41" t="s">
        <v>182</v>
      </c>
      <c r="C956" s="44" t="s">
        <v>177</v>
      </c>
      <c r="D956" s="45">
        <v>14</v>
      </c>
    </row>
    <row r="957" spans="1:4" ht="75">
      <c r="A957" s="29">
        <f t="shared" si="18"/>
        <v>16.005000000000006</v>
      </c>
      <c r="B957" s="41" t="s">
        <v>727</v>
      </c>
      <c r="C957" s="44" t="s">
        <v>177</v>
      </c>
      <c r="D957" s="45">
        <v>12</v>
      </c>
    </row>
    <row r="958" spans="1:4" ht="75">
      <c r="A958" s="29">
        <f t="shared" si="18"/>
        <v>16.006000000000007</v>
      </c>
      <c r="B958" s="41" t="s">
        <v>728</v>
      </c>
      <c r="C958" s="44" t="s">
        <v>177</v>
      </c>
      <c r="D958" s="45">
        <v>4</v>
      </c>
    </row>
    <row r="959" spans="1:4" ht="75">
      <c r="A959" s="29">
        <f t="shared" si="18"/>
        <v>16.00700000000001</v>
      </c>
      <c r="B959" s="41" t="s">
        <v>729</v>
      </c>
      <c r="C959" s="44" t="s">
        <v>177</v>
      </c>
      <c r="D959" s="45">
        <v>12</v>
      </c>
    </row>
    <row r="960" spans="1:4" ht="75">
      <c r="A960" s="29">
        <f t="shared" si="18"/>
        <v>16.00800000000001</v>
      </c>
      <c r="B960" s="41" t="s">
        <v>730</v>
      </c>
      <c r="C960" s="44" t="s">
        <v>177</v>
      </c>
      <c r="D960" s="45">
        <v>8</v>
      </c>
    </row>
    <row r="961" spans="1:4" ht="75">
      <c r="A961" s="29">
        <f>+A960+0.001</f>
        <v>16.00900000000001</v>
      </c>
      <c r="B961" s="41" t="s">
        <v>731</v>
      </c>
      <c r="C961" s="44" t="s">
        <v>177</v>
      </c>
      <c r="D961" s="45">
        <v>4</v>
      </c>
    </row>
    <row r="962" spans="1:4" ht="30">
      <c r="A962" s="29">
        <f t="shared" si="18"/>
        <v>16.010000000000012</v>
      </c>
      <c r="B962" s="41" t="s">
        <v>732</v>
      </c>
      <c r="C962" s="44" t="s">
        <v>177</v>
      </c>
      <c r="D962" s="45">
        <v>4</v>
      </c>
    </row>
    <row r="963" spans="1:4" ht="30">
      <c r="A963" s="29">
        <f t="shared" si="18"/>
        <v>16.011000000000013</v>
      </c>
      <c r="B963" s="41" t="s">
        <v>733</v>
      </c>
      <c r="C963" s="44" t="s">
        <v>177</v>
      </c>
      <c r="D963" s="45">
        <v>1</v>
      </c>
    </row>
    <row r="964" spans="1:4" ht="60">
      <c r="A964" s="29">
        <f t="shared" si="18"/>
        <v>16.012000000000015</v>
      </c>
      <c r="B964" s="41" t="s">
        <v>198</v>
      </c>
      <c r="C964" s="44" t="s">
        <v>177</v>
      </c>
      <c r="D964" s="45">
        <v>1</v>
      </c>
    </row>
    <row r="965" spans="1:4" ht="60">
      <c r="A965" s="29">
        <f t="shared" si="18"/>
        <v>16.013000000000016</v>
      </c>
      <c r="B965" s="41" t="s">
        <v>734</v>
      </c>
      <c r="C965" s="44" t="s">
        <v>200</v>
      </c>
      <c r="D965" s="45">
        <v>298.47999999999996</v>
      </c>
    </row>
    <row r="966" ht="15">
      <c r="A966" s="29"/>
    </row>
    <row r="967" spans="1:2" ht="15">
      <c r="A967" s="29">
        <v>17</v>
      </c>
      <c r="B967" s="21" t="s">
        <v>735</v>
      </c>
    </row>
    <row r="968" spans="1:4" ht="15">
      <c r="A968" s="29">
        <f t="shared" si="18"/>
        <v>17.001</v>
      </c>
      <c r="B968" s="41" t="s">
        <v>736</v>
      </c>
      <c r="C968" s="44" t="s">
        <v>177</v>
      </c>
      <c r="D968" s="45">
        <v>2</v>
      </c>
    </row>
    <row r="969" spans="1:4" ht="15">
      <c r="A969" s="29">
        <f t="shared" si="18"/>
        <v>17.002000000000002</v>
      </c>
      <c r="B969" s="41" t="s">
        <v>737</v>
      </c>
      <c r="C969" s="44" t="s">
        <v>177</v>
      </c>
      <c r="D969" s="45">
        <v>1</v>
      </c>
    </row>
    <row r="970" spans="1:4" ht="15">
      <c r="A970" s="29">
        <f t="shared" si="18"/>
        <v>17.003000000000004</v>
      </c>
      <c r="B970" s="41" t="s">
        <v>738</v>
      </c>
      <c r="C970" s="44" t="s">
        <v>177</v>
      </c>
      <c r="D970" s="45">
        <v>1</v>
      </c>
    </row>
    <row r="971" spans="1:4" ht="15">
      <c r="A971" s="29">
        <f t="shared" si="18"/>
        <v>17.004000000000005</v>
      </c>
      <c r="B971" s="41" t="s">
        <v>739</v>
      </c>
      <c r="C971" s="44" t="s">
        <v>177</v>
      </c>
      <c r="D971" s="45">
        <v>1</v>
      </c>
    </row>
    <row r="972" spans="1:4" ht="15">
      <c r="A972" s="29">
        <f t="shared" si="18"/>
        <v>17.005000000000006</v>
      </c>
      <c r="B972" s="41" t="s">
        <v>740</v>
      </c>
      <c r="C972" s="44" t="s">
        <v>177</v>
      </c>
      <c r="D972" s="45">
        <v>1</v>
      </c>
    </row>
    <row r="973" spans="1:4" ht="15">
      <c r="A973" s="29">
        <f t="shared" si="18"/>
        <v>17.006000000000007</v>
      </c>
      <c r="B973" s="41" t="s">
        <v>741</v>
      </c>
      <c r="C973" s="44" t="s">
        <v>620</v>
      </c>
      <c r="D973" s="45">
        <v>174</v>
      </c>
    </row>
    <row r="974" spans="1:4" ht="15">
      <c r="A974" s="29">
        <f t="shared" si="18"/>
        <v>17.00700000000001</v>
      </c>
      <c r="B974" s="41" t="s">
        <v>742</v>
      </c>
      <c r="C974" s="44" t="s">
        <v>177</v>
      </c>
      <c r="D974" s="45">
        <v>1</v>
      </c>
    </row>
    <row r="975" spans="1:4" ht="15">
      <c r="A975" s="29">
        <f t="shared" si="18"/>
        <v>17.00800000000001</v>
      </c>
      <c r="B975" s="41" t="s">
        <v>743</v>
      </c>
      <c r="C975" s="44" t="s">
        <v>177</v>
      </c>
      <c r="D975" s="45">
        <v>1</v>
      </c>
    </row>
    <row r="976" spans="1:4" ht="15">
      <c r="A976" s="29">
        <f t="shared" si="18"/>
        <v>17.00900000000001</v>
      </c>
      <c r="B976" s="41" t="s">
        <v>744</v>
      </c>
      <c r="C976" s="44" t="s">
        <v>177</v>
      </c>
      <c r="D976" s="45">
        <v>2</v>
      </c>
    </row>
    <row r="977" spans="1:4" ht="15">
      <c r="A977" s="29">
        <f t="shared" si="18"/>
        <v>17.010000000000012</v>
      </c>
      <c r="B977" s="41" t="s">
        <v>745</v>
      </c>
      <c r="C977" s="44" t="s">
        <v>177</v>
      </c>
      <c r="D977" s="45">
        <v>1</v>
      </c>
    </row>
    <row r="978" spans="1:4" ht="15">
      <c r="A978" s="29">
        <f t="shared" si="18"/>
        <v>17.011000000000013</v>
      </c>
      <c r="B978" s="41" t="s">
        <v>746</v>
      </c>
      <c r="C978" s="44" t="s">
        <v>177</v>
      </c>
      <c r="D978" s="45">
        <v>2</v>
      </c>
    </row>
    <row r="979" spans="1:4" ht="15">
      <c r="A979" s="29">
        <f t="shared" si="18"/>
        <v>17.012000000000015</v>
      </c>
      <c r="B979" s="41" t="s">
        <v>747</v>
      </c>
      <c r="C979" s="44" t="s">
        <v>677</v>
      </c>
      <c r="D979" s="45">
        <v>22</v>
      </c>
    </row>
    <row r="980" spans="1:4" ht="15">
      <c r="A980" s="29">
        <f t="shared" si="18"/>
        <v>17.013000000000016</v>
      </c>
      <c r="B980" s="41" t="s">
        <v>748</v>
      </c>
      <c r="C980" s="44" t="s">
        <v>177</v>
      </c>
      <c r="D980" s="45">
        <v>1</v>
      </c>
    </row>
    <row r="981" spans="1:4" ht="15">
      <c r="A981" s="29">
        <f t="shared" si="18"/>
        <v>17.014000000000017</v>
      </c>
      <c r="B981" s="41" t="s">
        <v>749</v>
      </c>
      <c r="C981" s="44" t="s">
        <v>177</v>
      </c>
      <c r="D981" s="45">
        <v>1</v>
      </c>
    </row>
    <row r="982" spans="1:4" ht="15">
      <c r="A982" s="29">
        <f t="shared" si="18"/>
        <v>17.01500000000002</v>
      </c>
      <c r="B982" s="41" t="s">
        <v>750</v>
      </c>
      <c r="C982" s="44" t="s">
        <v>177</v>
      </c>
      <c r="D982" s="45">
        <v>5</v>
      </c>
    </row>
    <row r="983" spans="1:4" ht="30">
      <c r="A983" s="29">
        <f t="shared" si="18"/>
        <v>17.01600000000002</v>
      </c>
      <c r="B983" s="41" t="s">
        <v>751</v>
      </c>
      <c r="C983" s="44" t="s">
        <v>177</v>
      </c>
      <c r="D983" s="45">
        <v>1</v>
      </c>
    </row>
    <row r="984" spans="1:4" ht="15">
      <c r="A984" s="29">
        <f t="shared" si="18"/>
        <v>17.01700000000002</v>
      </c>
      <c r="B984" s="41" t="s">
        <v>752</v>
      </c>
      <c r="C984" s="44" t="s">
        <v>177</v>
      </c>
      <c r="D984" s="45">
        <v>1</v>
      </c>
    </row>
    <row r="985" spans="1:4" ht="15">
      <c r="A985" s="29">
        <f t="shared" si="18"/>
        <v>17.018000000000022</v>
      </c>
      <c r="B985" s="41" t="s">
        <v>753</v>
      </c>
      <c r="C985" s="44" t="s">
        <v>177</v>
      </c>
      <c r="D985" s="45">
        <v>1</v>
      </c>
    </row>
    <row r="986" ht="15">
      <c r="A986" s="29"/>
    </row>
    <row r="987" spans="1:2" ht="15">
      <c r="A987" s="29">
        <v>18</v>
      </c>
      <c r="B987" s="21" t="s">
        <v>755</v>
      </c>
    </row>
    <row r="988" spans="1:4" ht="60">
      <c r="A988" s="29">
        <f>+A987+0.001</f>
        <v>18.001</v>
      </c>
      <c r="B988" s="41" t="s">
        <v>724</v>
      </c>
      <c r="C988" s="44" t="s">
        <v>177</v>
      </c>
      <c r="D988" s="45">
        <v>16</v>
      </c>
    </row>
    <row r="989" spans="1:4" ht="75">
      <c r="A989" s="29">
        <f aca="true" t="shared" si="19" ref="A989:A997">+A988+0.001</f>
        <v>18.002000000000002</v>
      </c>
      <c r="B989" s="41" t="s">
        <v>725</v>
      </c>
      <c r="C989" s="44" t="s">
        <v>177</v>
      </c>
      <c r="D989" s="45">
        <v>8</v>
      </c>
    </row>
    <row r="990" spans="1:4" ht="30">
      <c r="A990" s="29">
        <f t="shared" si="19"/>
        <v>18.003000000000004</v>
      </c>
      <c r="B990" s="41" t="s">
        <v>726</v>
      </c>
      <c r="C990" s="44" t="s">
        <v>177</v>
      </c>
      <c r="D990" s="45">
        <v>16</v>
      </c>
    </row>
    <row r="991" spans="1:4" ht="75">
      <c r="A991" s="29">
        <f t="shared" si="19"/>
        <v>18.004000000000005</v>
      </c>
      <c r="B991" s="41" t="s">
        <v>182</v>
      </c>
      <c r="C991" s="44" t="s">
        <v>177</v>
      </c>
      <c r="D991" s="45">
        <v>8</v>
      </c>
    </row>
    <row r="992" spans="1:4" ht="75">
      <c r="A992" s="29">
        <f t="shared" si="19"/>
        <v>18.005000000000006</v>
      </c>
      <c r="B992" s="41" t="s">
        <v>727</v>
      </c>
      <c r="C992" s="44" t="s">
        <v>177</v>
      </c>
      <c r="D992" s="45">
        <v>10</v>
      </c>
    </row>
    <row r="993" spans="1:4" ht="75">
      <c r="A993" s="29">
        <f t="shared" si="19"/>
        <v>18.006000000000007</v>
      </c>
      <c r="B993" s="41" t="s">
        <v>729</v>
      </c>
      <c r="C993" s="44" t="s">
        <v>177</v>
      </c>
      <c r="D993" s="45">
        <v>16</v>
      </c>
    </row>
    <row r="994" spans="1:4" ht="75">
      <c r="A994" s="29">
        <f t="shared" si="19"/>
        <v>18.00700000000001</v>
      </c>
      <c r="B994" s="41" t="s">
        <v>730</v>
      </c>
      <c r="C994" s="44" t="s">
        <v>177</v>
      </c>
      <c r="D994" s="45">
        <v>4</v>
      </c>
    </row>
    <row r="995" spans="1:4" ht="75">
      <c r="A995" s="29">
        <f t="shared" si="19"/>
        <v>18.00800000000001</v>
      </c>
      <c r="B995" s="41" t="s">
        <v>731</v>
      </c>
      <c r="C995" s="44" t="s">
        <v>177</v>
      </c>
      <c r="D995" s="45">
        <v>2</v>
      </c>
    </row>
    <row r="996" spans="1:4" ht="30">
      <c r="A996" s="29">
        <f t="shared" si="19"/>
        <v>18.00900000000001</v>
      </c>
      <c r="B996" s="41" t="s">
        <v>759</v>
      </c>
      <c r="C996" s="44" t="s">
        <v>177</v>
      </c>
      <c r="D996" s="45">
        <v>1</v>
      </c>
    </row>
    <row r="997" spans="1:4" ht="45">
      <c r="A997" s="29">
        <f t="shared" si="19"/>
        <v>18.010000000000012</v>
      </c>
      <c r="B997" s="41" t="s">
        <v>756</v>
      </c>
      <c r="C997" s="44" t="s">
        <v>200</v>
      </c>
      <c r="D997" s="45">
        <v>240</v>
      </c>
    </row>
    <row r="998" ht="15">
      <c r="A998" s="29"/>
    </row>
    <row r="999" spans="1:2" ht="15">
      <c r="A999" s="29">
        <v>19</v>
      </c>
      <c r="B999" s="21" t="s">
        <v>757</v>
      </c>
    </row>
    <row r="1000" spans="1:4" ht="60">
      <c r="A1000" s="29">
        <f>+A999+0.001</f>
        <v>19.001</v>
      </c>
      <c r="B1000" s="41" t="s">
        <v>724</v>
      </c>
      <c r="C1000" s="44" t="s">
        <v>177</v>
      </c>
      <c r="D1000" s="45">
        <v>8</v>
      </c>
    </row>
    <row r="1001" spans="1:4" ht="75">
      <c r="A1001" s="29">
        <f aca="true" t="shared" si="20" ref="A1001:A1008">+A1000+0.001</f>
        <v>19.002000000000002</v>
      </c>
      <c r="B1001" s="41" t="s">
        <v>725</v>
      </c>
      <c r="C1001" s="44" t="s">
        <v>177</v>
      </c>
      <c r="D1001" s="45">
        <v>3</v>
      </c>
    </row>
    <row r="1002" spans="1:4" ht="30">
      <c r="A1002" s="29">
        <f t="shared" si="20"/>
        <v>19.003000000000004</v>
      </c>
      <c r="B1002" s="41" t="s">
        <v>726</v>
      </c>
      <c r="C1002" s="44" t="s">
        <v>177</v>
      </c>
      <c r="D1002" s="45">
        <f>+D1000</f>
        <v>8</v>
      </c>
    </row>
    <row r="1003" spans="1:4" ht="75">
      <c r="A1003" s="29">
        <f t="shared" si="20"/>
        <v>19.004000000000005</v>
      </c>
      <c r="B1003" s="41" t="s">
        <v>182</v>
      </c>
      <c r="C1003" s="44" t="s">
        <v>177</v>
      </c>
      <c r="D1003" s="45">
        <v>4</v>
      </c>
    </row>
    <row r="1004" spans="1:4" ht="75">
      <c r="A1004" s="29">
        <f t="shared" si="20"/>
        <v>19.005000000000006</v>
      </c>
      <c r="B1004" s="41" t="s">
        <v>727</v>
      </c>
      <c r="C1004" s="44" t="s">
        <v>177</v>
      </c>
      <c r="D1004" s="45">
        <v>2</v>
      </c>
    </row>
    <row r="1005" spans="1:4" ht="75">
      <c r="A1005" s="29">
        <f t="shared" si="20"/>
        <v>19.006000000000007</v>
      </c>
      <c r="B1005" s="41" t="s">
        <v>729</v>
      </c>
      <c r="C1005" s="44" t="s">
        <v>177</v>
      </c>
      <c r="D1005" s="45">
        <v>6</v>
      </c>
    </row>
    <row r="1006" spans="1:4" ht="75">
      <c r="A1006" s="29">
        <f t="shared" si="20"/>
        <v>19.00700000000001</v>
      </c>
      <c r="B1006" s="41" t="s">
        <v>730</v>
      </c>
      <c r="C1006" s="44" t="s">
        <v>177</v>
      </c>
      <c r="D1006" s="45">
        <v>6</v>
      </c>
    </row>
    <row r="1007" spans="1:4" ht="30">
      <c r="A1007" s="29">
        <f t="shared" si="20"/>
        <v>19.00800000000001</v>
      </c>
      <c r="B1007" s="41" t="s">
        <v>758</v>
      </c>
      <c r="C1007" s="44" t="s">
        <v>177</v>
      </c>
      <c r="D1007" s="45">
        <v>1</v>
      </c>
    </row>
    <row r="1008" spans="1:4" ht="45">
      <c r="A1008" s="29">
        <f t="shared" si="20"/>
        <v>19.00900000000001</v>
      </c>
      <c r="B1008" s="41" t="s">
        <v>756</v>
      </c>
      <c r="C1008" s="44" t="s">
        <v>200</v>
      </c>
      <c r="D1008" s="45">
        <v>116</v>
      </c>
    </row>
    <row r="1009" ht="15">
      <c r="A1009" s="29"/>
    </row>
    <row r="1010" spans="1:2" ht="15">
      <c r="A1010" s="29">
        <v>20</v>
      </c>
      <c r="B1010" s="21" t="s">
        <v>760</v>
      </c>
    </row>
    <row r="1011" spans="1:4" ht="60">
      <c r="A1011" s="29">
        <f>+A1010+0.001</f>
        <v>20.001</v>
      </c>
      <c r="B1011" s="41" t="s">
        <v>724</v>
      </c>
      <c r="C1011" s="44" t="s">
        <v>177</v>
      </c>
      <c r="D1011" s="45">
        <v>6</v>
      </c>
    </row>
    <row r="1012" spans="1:4" ht="75">
      <c r="A1012" s="29">
        <f aca="true" t="shared" si="21" ref="A1012:A1019">+A1011+0.001</f>
        <v>20.002000000000002</v>
      </c>
      <c r="B1012" s="41" t="s">
        <v>725</v>
      </c>
      <c r="C1012" s="44" t="s">
        <v>177</v>
      </c>
      <c r="D1012" s="45">
        <v>2</v>
      </c>
    </row>
    <row r="1013" spans="1:4" ht="30">
      <c r="A1013" s="29">
        <f t="shared" si="21"/>
        <v>20.003000000000004</v>
      </c>
      <c r="B1013" s="41" t="s">
        <v>726</v>
      </c>
      <c r="C1013" s="44" t="s">
        <v>177</v>
      </c>
      <c r="D1013" s="45">
        <f>+D1011</f>
        <v>6</v>
      </c>
    </row>
    <row r="1014" spans="1:4" ht="75">
      <c r="A1014" s="29">
        <f t="shared" si="21"/>
        <v>20.004000000000005</v>
      </c>
      <c r="B1014" s="41" t="s">
        <v>182</v>
      </c>
      <c r="C1014" s="44" t="s">
        <v>177</v>
      </c>
      <c r="D1014" s="45">
        <v>3</v>
      </c>
    </row>
    <row r="1015" spans="1:4" ht="75">
      <c r="A1015" s="29">
        <f t="shared" si="21"/>
        <v>20.005000000000006</v>
      </c>
      <c r="B1015" s="41" t="s">
        <v>727</v>
      </c>
      <c r="C1015" s="44" t="s">
        <v>177</v>
      </c>
      <c r="D1015" s="45">
        <v>1</v>
      </c>
    </row>
    <row r="1016" spans="1:4" ht="75">
      <c r="A1016" s="29">
        <f t="shared" si="21"/>
        <v>20.006000000000007</v>
      </c>
      <c r="B1016" s="41" t="s">
        <v>729</v>
      </c>
      <c r="C1016" s="44" t="s">
        <v>177</v>
      </c>
      <c r="D1016" s="45">
        <v>10</v>
      </c>
    </row>
    <row r="1017" spans="1:4" ht="75">
      <c r="A1017" s="29">
        <f t="shared" si="21"/>
        <v>20.00700000000001</v>
      </c>
      <c r="B1017" s="41" t="s">
        <v>730</v>
      </c>
      <c r="C1017" s="44" t="s">
        <v>177</v>
      </c>
      <c r="D1017" s="45">
        <v>6</v>
      </c>
    </row>
    <row r="1018" spans="1:4" ht="30">
      <c r="A1018" s="29">
        <f t="shared" si="21"/>
        <v>20.00800000000001</v>
      </c>
      <c r="B1018" s="41" t="s">
        <v>758</v>
      </c>
      <c r="C1018" s="44" t="s">
        <v>177</v>
      </c>
      <c r="D1018" s="45">
        <v>1</v>
      </c>
    </row>
    <row r="1019" spans="1:4" ht="45">
      <c r="A1019" s="29">
        <f t="shared" si="21"/>
        <v>20.00900000000001</v>
      </c>
      <c r="B1019" s="41" t="s">
        <v>756</v>
      </c>
      <c r="C1019" s="44" t="s">
        <v>200</v>
      </c>
      <c r="D1019" s="45">
        <v>132</v>
      </c>
    </row>
    <row r="1020" ht="15">
      <c r="A1020" s="29"/>
    </row>
    <row r="1021" spans="1:2" ht="15">
      <c r="A1021" s="29">
        <v>21</v>
      </c>
      <c r="B1021" s="21" t="s">
        <v>761</v>
      </c>
    </row>
    <row r="1022" spans="1:4" ht="60">
      <c r="A1022" s="29">
        <f>+A1021+0.001</f>
        <v>21.001</v>
      </c>
      <c r="B1022" s="41" t="s">
        <v>724</v>
      </c>
      <c r="C1022" s="44" t="s">
        <v>177</v>
      </c>
      <c r="D1022" s="45">
        <v>10</v>
      </c>
    </row>
    <row r="1023" spans="1:4" ht="75">
      <c r="A1023" s="29">
        <f aca="true" t="shared" si="22" ref="A1023:A1030">+A1022+0.001</f>
        <v>21.002000000000002</v>
      </c>
      <c r="B1023" s="41" t="s">
        <v>725</v>
      </c>
      <c r="C1023" s="44" t="s">
        <v>177</v>
      </c>
      <c r="D1023" s="45">
        <v>4</v>
      </c>
    </row>
    <row r="1024" spans="1:4" ht="30">
      <c r="A1024" s="29">
        <f t="shared" si="22"/>
        <v>21.003000000000004</v>
      </c>
      <c r="B1024" s="41" t="s">
        <v>726</v>
      </c>
      <c r="C1024" s="44" t="s">
        <v>177</v>
      </c>
      <c r="D1024" s="45">
        <f>+D1022</f>
        <v>10</v>
      </c>
    </row>
    <row r="1025" spans="1:4" ht="75">
      <c r="A1025" s="29">
        <f t="shared" si="22"/>
        <v>21.004000000000005</v>
      </c>
      <c r="B1025" s="41" t="s">
        <v>182</v>
      </c>
      <c r="C1025" s="44" t="s">
        <v>177</v>
      </c>
      <c r="D1025" s="45">
        <v>4</v>
      </c>
    </row>
    <row r="1026" spans="1:4" ht="75">
      <c r="A1026" s="29">
        <f t="shared" si="22"/>
        <v>21.005000000000006</v>
      </c>
      <c r="B1026" s="41" t="s">
        <v>727</v>
      </c>
      <c r="C1026" s="44" t="s">
        <v>177</v>
      </c>
      <c r="D1026" s="45">
        <v>1</v>
      </c>
    </row>
    <row r="1027" spans="1:4" ht="75">
      <c r="A1027" s="29">
        <f t="shared" si="22"/>
        <v>21.006000000000007</v>
      </c>
      <c r="B1027" s="41" t="s">
        <v>729</v>
      </c>
      <c r="C1027" s="44" t="s">
        <v>177</v>
      </c>
      <c r="D1027" s="45">
        <v>6</v>
      </c>
    </row>
    <row r="1028" spans="1:4" ht="75">
      <c r="A1028" s="29">
        <f t="shared" si="22"/>
        <v>21.00700000000001</v>
      </c>
      <c r="B1028" s="41" t="s">
        <v>730</v>
      </c>
      <c r="C1028" s="44" t="s">
        <v>177</v>
      </c>
      <c r="D1028" s="45">
        <v>8</v>
      </c>
    </row>
    <row r="1029" spans="1:4" ht="30">
      <c r="A1029" s="29">
        <f t="shared" si="22"/>
        <v>21.00800000000001</v>
      </c>
      <c r="B1029" s="41" t="s">
        <v>758</v>
      </c>
      <c r="C1029" s="44" t="s">
        <v>177</v>
      </c>
      <c r="D1029" s="45">
        <v>1</v>
      </c>
    </row>
    <row r="1030" spans="1:4" ht="45">
      <c r="A1030" s="29">
        <f t="shared" si="22"/>
        <v>21.00900000000001</v>
      </c>
      <c r="B1030" s="41" t="s">
        <v>756</v>
      </c>
      <c r="C1030" s="44" t="s">
        <v>11</v>
      </c>
      <c r="D1030" s="45">
        <v>86</v>
      </c>
    </row>
    <row r="1031" ht="15">
      <c r="A1031" s="29"/>
    </row>
    <row r="1032" spans="1:2" ht="15">
      <c r="A1032" s="29">
        <v>22</v>
      </c>
      <c r="B1032" s="21" t="s">
        <v>22</v>
      </c>
    </row>
    <row r="1033" spans="1:4" ht="30">
      <c r="A1033" s="29">
        <f aca="true" t="shared" si="23" ref="A1033:A1040">+A1032+0.001</f>
        <v>22.001</v>
      </c>
      <c r="B1033" s="41" t="s">
        <v>766</v>
      </c>
      <c r="C1033" s="44" t="s">
        <v>13</v>
      </c>
      <c r="D1033" s="45">
        <v>4</v>
      </c>
    </row>
    <row r="1034" spans="1:4" ht="30">
      <c r="A1034" s="29">
        <f t="shared" si="23"/>
        <v>22.002000000000002</v>
      </c>
      <c r="B1034" s="41" t="s">
        <v>763</v>
      </c>
      <c r="C1034" s="44" t="s">
        <v>13</v>
      </c>
      <c r="D1034" s="45">
        <v>12</v>
      </c>
    </row>
    <row r="1035" spans="1:4" ht="60">
      <c r="A1035" s="29">
        <f t="shared" si="23"/>
        <v>22.003000000000004</v>
      </c>
      <c r="B1035" s="41" t="s">
        <v>768</v>
      </c>
      <c r="C1035" s="44" t="s">
        <v>13</v>
      </c>
      <c r="D1035" s="45">
        <v>14</v>
      </c>
    </row>
    <row r="1036" spans="1:4" ht="30">
      <c r="A1036" s="29">
        <f t="shared" si="23"/>
        <v>22.004000000000005</v>
      </c>
      <c r="B1036" s="41" t="s">
        <v>769</v>
      </c>
      <c r="C1036" s="44" t="s">
        <v>177</v>
      </c>
      <c r="D1036" s="45">
        <f>+D1035</f>
        <v>14</v>
      </c>
    </row>
    <row r="1037" spans="1:4" ht="30">
      <c r="A1037" s="29">
        <f t="shared" si="23"/>
        <v>22.005000000000006</v>
      </c>
      <c r="B1037" s="41" t="s">
        <v>764</v>
      </c>
      <c r="C1037" s="44" t="s">
        <v>13</v>
      </c>
      <c r="D1037" s="45">
        <v>6</v>
      </c>
    </row>
    <row r="1038" spans="1:4" ht="45">
      <c r="A1038" s="29">
        <f t="shared" si="23"/>
        <v>22.006000000000007</v>
      </c>
      <c r="B1038" s="41" t="s">
        <v>771</v>
      </c>
      <c r="C1038" s="44" t="s">
        <v>11</v>
      </c>
      <c r="D1038" s="45">
        <v>68</v>
      </c>
    </row>
    <row r="1039" spans="1:4" ht="45">
      <c r="A1039" s="29">
        <f t="shared" si="23"/>
        <v>22.00700000000001</v>
      </c>
      <c r="B1039" s="41" t="s">
        <v>765</v>
      </c>
      <c r="C1039" s="44" t="s">
        <v>11</v>
      </c>
      <c r="D1039" s="45">
        <v>63</v>
      </c>
    </row>
    <row r="1040" spans="1:4" ht="15">
      <c r="A1040" s="29">
        <f t="shared" si="23"/>
        <v>22.00800000000001</v>
      </c>
      <c r="B1040" s="41" t="s">
        <v>767</v>
      </c>
      <c r="C1040" s="44" t="s">
        <v>12</v>
      </c>
      <c r="D1040" s="45">
        <v>1</v>
      </c>
    </row>
    <row r="1041" ht="15.75" thickBot="1">
      <c r="A1041" s="29"/>
    </row>
    <row r="1042" spans="1:7" ht="15.75" thickBot="1">
      <c r="A1042" s="29"/>
      <c r="D1042" s="84" t="s">
        <v>772</v>
      </c>
      <c r="E1042" s="125"/>
      <c r="F1042" s="85"/>
      <c r="G1042" s="16">
        <f>SUM(F953:F1041)</f>
        <v>0</v>
      </c>
    </row>
    <row r="1043" ht="15">
      <c r="A1043" s="29"/>
    </row>
    <row r="1044" ht="15.75" thickBot="1">
      <c r="A1044" s="29"/>
    </row>
    <row r="1045" spans="1:7" ht="15.75" thickBot="1">
      <c r="A1045" s="29"/>
      <c r="D1045" s="84" t="s">
        <v>415</v>
      </c>
      <c r="E1045" s="125"/>
      <c r="F1045" s="85"/>
      <c r="G1045" s="16">
        <f>SUM(G25:G1044)</f>
        <v>0</v>
      </c>
    </row>
    <row r="1046" ht="15.75" thickBot="1">
      <c r="B1046" s="11" t="s">
        <v>416</v>
      </c>
    </row>
    <row r="1047" spans="2:7" ht="15">
      <c r="B1047" s="41" t="s">
        <v>417</v>
      </c>
      <c r="C1047" s="46"/>
      <c r="G1047" s="43">
        <f>+G1045*C1047</f>
        <v>0</v>
      </c>
    </row>
    <row r="1048" spans="2:7" ht="15">
      <c r="B1048" s="41" t="s">
        <v>418</v>
      </c>
      <c r="C1048" s="46"/>
      <c r="G1048" s="43">
        <f>+G1045*C1048</f>
        <v>0</v>
      </c>
    </row>
    <row r="1049" spans="2:7" ht="15">
      <c r="B1049" s="41" t="s">
        <v>419</v>
      </c>
      <c r="C1049" s="46"/>
      <c r="G1049" s="43">
        <f>+G1045*C1049</f>
        <v>0</v>
      </c>
    </row>
    <row r="1050" spans="2:7" ht="15">
      <c r="B1050" s="41" t="s">
        <v>420</v>
      </c>
      <c r="C1050" s="46">
        <v>0.045</v>
      </c>
      <c r="G1050" s="43">
        <f>+G1045*C1050</f>
        <v>0</v>
      </c>
    </row>
    <row r="1051" spans="2:7" ht="15">
      <c r="B1051" s="41" t="s">
        <v>421</v>
      </c>
      <c r="C1051" s="46">
        <v>0.05</v>
      </c>
      <c r="G1051" s="43">
        <f>+G1045*C1051</f>
        <v>0</v>
      </c>
    </row>
    <row r="1052" spans="2:7" ht="15">
      <c r="B1052" s="41" t="s">
        <v>422</v>
      </c>
      <c r="C1052" s="46">
        <v>0.001</v>
      </c>
      <c r="G1052" s="43">
        <f>+G1045*C1052</f>
        <v>0</v>
      </c>
    </row>
    <row r="1053" ht="15">
      <c r="C1053" s="46"/>
    </row>
    <row r="1054" spans="2:7" ht="15">
      <c r="B1054" s="41" t="s">
        <v>423</v>
      </c>
      <c r="C1054" s="46">
        <v>0.18</v>
      </c>
      <c r="G1054" s="43">
        <f>+G1047*C1054</f>
        <v>0</v>
      </c>
    </row>
    <row r="1055" ht="15.75" thickBot="1"/>
    <row r="1056" spans="4:7" ht="15.75" thickBot="1">
      <c r="D1056" s="126" t="s">
        <v>424</v>
      </c>
      <c r="E1056" s="127"/>
      <c r="F1056" s="128"/>
      <c r="G1056" s="16">
        <f>SUM(G1046:G1054)</f>
        <v>0</v>
      </c>
    </row>
    <row r="1059" ht="15.75" thickBot="1"/>
    <row r="1060" spans="4:7" ht="15.75" thickBot="1">
      <c r="D1060" s="84" t="s">
        <v>425</v>
      </c>
      <c r="E1060" s="125"/>
      <c r="F1060" s="85"/>
      <c r="G1060" s="16">
        <f>+G1045+G1056</f>
        <v>0</v>
      </c>
    </row>
  </sheetData>
  <sheetProtection/>
  <mergeCells count="40">
    <mergeCell ref="E166:F166"/>
    <mergeCell ref="E321:F321"/>
    <mergeCell ref="E414:F414"/>
    <mergeCell ref="E842:F842"/>
    <mergeCell ref="E922:F922"/>
    <mergeCell ref="E942:F942"/>
    <mergeCell ref="E681:F681"/>
    <mergeCell ref="E39:F39"/>
    <mergeCell ref="E70:F70"/>
    <mergeCell ref="E85:F85"/>
    <mergeCell ref="E106:F106"/>
    <mergeCell ref="E132:F132"/>
    <mergeCell ref="E155:F155"/>
    <mergeCell ref="A17:G17"/>
    <mergeCell ref="A18:G18"/>
    <mergeCell ref="A19:G19"/>
    <mergeCell ref="A20:G20"/>
    <mergeCell ref="A21:G21"/>
    <mergeCell ref="E30:F30"/>
    <mergeCell ref="A8:G8"/>
    <mergeCell ref="A9:G9"/>
    <mergeCell ref="A11:G11"/>
    <mergeCell ref="F12:G12"/>
    <mergeCell ref="A14:A15"/>
    <mergeCell ref="B14:B15"/>
    <mergeCell ref="C14:C15"/>
    <mergeCell ref="D14:D15"/>
    <mergeCell ref="A1:G1"/>
    <mergeCell ref="A2:G2"/>
    <mergeCell ref="A3:G3"/>
    <mergeCell ref="A4:G4"/>
    <mergeCell ref="A5:G5"/>
    <mergeCell ref="A7:G7"/>
    <mergeCell ref="D1045:F1045"/>
    <mergeCell ref="D1056:F1056"/>
    <mergeCell ref="D1042:F1042"/>
    <mergeCell ref="D1060:F1060"/>
    <mergeCell ref="E949:F949"/>
    <mergeCell ref="E761:F761"/>
    <mergeCell ref="E765:F765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Construcción de 3 (Tres ) Centros Educativos de Básica.</dc:title>
  <dc:subject/>
  <dc:creator>junior gonzalez</dc:creator>
  <cp:keywords/>
  <dc:description/>
  <cp:lastModifiedBy>Administrador</cp:lastModifiedBy>
  <cp:lastPrinted>2016-03-04T21:41:17Z</cp:lastPrinted>
  <dcterms:created xsi:type="dcterms:W3CDTF">2016-01-19T19:16:40Z</dcterms:created>
  <dcterms:modified xsi:type="dcterms:W3CDTF">2016-03-07T17:59:43Z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etodo de adquisici">
    <vt:lpwstr>Licitación pública nacional</vt:lpwstr>
  </property>
  <property fmtid="{D5CDD505-2E9C-101B-9397-08002B2CF9AE}" pid="4" name="Descripci">
    <vt:lpwstr>Construcción de 3 (Tres ) Centros Educativos de Básica, en la provincia de Santo Domingo y San Pedro de Macoris</vt:lpwstr>
  </property>
  <property fmtid="{D5CDD505-2E9C-101B-9397-08002B2CF9AE}" pid="5" name="Tipo de comp">
    <vt:lpwstr>Obras</vt:lpwstr>
  </property>
  <property fmtid="{D5CDD505-2E9C-101B-9397-08002B2CF9AE}" pid="6" name="Núme">
    <vt:lpwstr>PU-OCI-001-2016</vt:lpwstr>
  </property>
  <property fmtid="{D5CDD505-2E9C-101B-9397-08002B2CF9AE}" pid="7" name="Fon">
    <vt:lpwstr>1. BID.</vt:lpwstr>
  </property>
  <property fmtid="{D5CDD505-2E9C-101B-9397-08002B2CF9AE}" pid="8" name="Identificacion de licitaci">
    <vt:lpwstr>PU-OCI-001-2016</vt:lpwstr>
  </property>
  <property fmtid="{D5CDD505-2E9C-101B-9397-08002B2CF9AE}" pid="9" name="Stat">
    <vt:lpwstr>En Proceso</vt:lpwstr>
  </property>
</Properties>
</file>